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T:\Property Tax Assessments\CLERK INFORMATION\TAX SALE RESULTS REPORTS\"/>
    </mc:Choice>
  </mc:AlternateContent>
  <xr:revisionPtr revIDLastSave="0" documentId="13_ncr:1_{72485ADD-DB9E-4BEF-BFEF-D940DF0F113B}" xr6:coauthVersionLast="47" xr6:coauthVersionMax="47" xr10:uidLastSave="{00000000-0000-0000-0000-000000000000}"/>
  <bookViews>
    <workbookView xWindow="-28920" yWindow="-120" windowWidth="29040" windowHeight="17640" firstSheet="2" activeTab="5" xr2:uid="{00000000-000D-0000-FFFF-FFFF00000000}"/>
  </bookViews>
  <sheets>
    <sheet name="2017 Tax Sales Results " sheetId="14" r:id="rId1"/>
    <sheet name="2018 Tax Sales Results " sheetId="2" r:id="rId2"/>
    <sheet name="2019 Tax Sales Results " sheetId="4" r:id="rId3"/>
    <sheet name="2020 Tax sale Results" sheetId="13" r:id="rId4"/>
    <sheet name="2021 Tax Sale Results" sheetId="12" r:id="rId5"/>
    <sheet name="2022 Tax Sale Results" sheetId="1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23" i="16" l="1"/>
  <c r="T122" i="16"/>
  <c r="T121" i="16"/>
  <c r="T120" i="16"/>
  <c r="T119" i="16"/>
  <c r="T118" i="16"/>
  <c r="T117" i="16"/>
  <c r="T116" i="16"/>
  <c r="T115" i="16"/>
  <c r="T114" i="16"/>
  <c r="T113" i="16"/>
  <c r="T112" i="16"/>
  <c r="T111" i="16"/>
  <c r="T110" i="16"/>
  <c r="T109" i="16"/>
  <c r="T108" i="16"/>
  <c r="T107" i="16"/>
  <c r="T106" i="16"/>
  <c r="T105" i="16"/>
  <c r="T104" i="16"/>
  <c r="T103" i="16"/>
  <c r="T102" i="16"/>
  <c r="T101" i="16"/>
  <c r="T100" i="16"/>
  <c r="T99" i="16"/>
  <c r="T98" i="16"/>
  <c r="T97" i="16"/>
  <c r="T96" i="16"/>
  <c r="T95" i="16"/>
  <c r="T94" i="16"/>
  <c r="T93" i="16"/>
  <c r="T92" i="16"/>
  <c r="T91" i="16"/>
  <c r="T90" i="16"/>
  <c r="T89" i="16"/>
  <c r="T88" i="16"/>
  <c r="T87" i="16"/>
  <c r="T86" i="16"/>
  <c r="T85" i="16"/>
  <c r="T84" i="16"/>
  <c r="T83" i="16"/>
  <c r="T82" i="16"/>
  <c r="T81" i="16"/>
  <c r="T80" i="16"/>
  <c r="T79" i="16"/>
  <c r="T78" i="16"/>
  <c r="T77" i="16"/>
  <c r="T76" i="16"/>
  <c r="T75" i="16"/>
  <c r="T74" i="16"/>
  <c r="T73" i="16"/>
  <c r="T72" i="16"/>
  <c r="T71" i="16"/>
  <c r="T70" i="16"/>
  <c r="T68" i="16"/>
  <c r="T67" i="16"/>
  <c r="T66" i="16"/>
  <c r="T64" i="16"/>
  <c r="T63" i="16"/>
  <c r="T62" i="16"/>
  <c r="T61" i="16"/>
  <c r="T59" i="16"/>
  <c r="T58" i="16"/>
  <c r="T57" i="16"/>
  <c r="T56" i="16"/>
  <c r="T55" i="16"/>
  <c r="T54" i="16"/>
  <c r="T53" i="16"/>
  <c r="T52" i="16"/>
  <c r="T51" i="16"/>
  <c r="T50" i="16"/>
  <c r="T49" i="16"/>
  <c r="T48" i="16"/>
  <c r="T47" i="16"/>
  <c r="T46" i="16"/>
  <c r="T45" i="16"/>
  <c r="T44" i="16"/>
  <c r="T43" i="16"/>
  <c r="T42" i="16"/>
  <c r="T41" i="16"/>
  <c r="T39" i="16"/>
  <c r="T37" i="16"/>
  <c r="T36" i="16"/>
  <c r="T35" i="16"/>
  <c r="T34" i="16"/>
  <c r="T32" i="16"/>
  <c r="T31" i="16"/>
  <c r="T30" i="16"/>
  <c r="T29" i="16"/>
  <c r="T28" i="16"/>
  <c r="T27" i="16"/>
  <c r="T26" i="16"/>
  <c r="T25" i="16"/>
  <c r="T24" i="16"/>
  <c r="T23" i="16"/>
  <c r="T21" i="16"/>
  <c r="T20" i="16"/>
  <c r="T19" i="16"/>
  <c r="T18" i="16"/>
  <c r="T17" i="16"/>
  <c r="T16" i="16"/>
  <c r="T15" i="16"/>
  <c r="T14" i="16"/>
  <c r="T12" i="16"/>
  <c r="T11" i="16"/>
  <c r="T10" i="16"/>
  <c r="T9" i="16"/>
  <c r="T8" i="16"/>
  <c r="T7" i="16"/>
  <c r="T6" i="16"/>
  <c r="T5" i="16"/>
  <c r="T4" i="16"/>
  <c r="T125" i="16" s="1"/>
  <c r="T3" i="16"/>
  <c r="T2" i="16"/>
  <c r="C128" i="12" l="1"/>
  <c r="C127" i="13"/>
  <c r="C135" i="4"/>
  <c r="C125" i="2"/>
  <c r="J123" i="14"/>
  <c r="B123" i="14"/>
  <c r="Q122" i="14"/>
  <c r="M122" i="14"/>
  <c r="M121" i="14"/>
  <c r="Q121" i="14" s="1"/>
  <c r="Q120" i="14"/>
  <c r="M120" i="14"/>
  <c r="P119" i="14"/>
  <c r="O119" i="14"/>
  <c r="N119" i="14"/>
  <c r="M119" i="14"/>
  <c r="Q119" i="14" s="1"/>
  <c r="P118" i="14"/>
  <c r="M118" i="14"/>
  <c r="Q118" i="14" s="1"/>
  <c r="P117" i="14"/>
  <c r="M117" i="14"/>
  <c r="Q117" i="14" s="1"/>
  <c r="K117" i="14"/>
  <c r="P116" i="14"/>
  <c r="M116" i="14"/>
  <c r="Q116" i="14" s="1"/>
  <c r="K116" i="14"/>
  <c r="P115" i="14"/>
  <c r="M115" i="14"/>
  <c r="Q115" i="14" s="1"/>
  <c r="Q114" i="14"/>
  <c r="M114" i="14"/>
  <c r="M113" i="14"/>
  <c r="Q113" i="14" s="1"/>
  <c r="Q112" i="14"/>
  <c r="M112" i="14"/>
  <c r="Q111" i="14"/>
  <c r="O111" i="14"/>
  <c r="M111" i="14"/>
  <c r="P110" i="14"/>
  <c r="M110" i="14"/>
  <c r="Q110" i="14" s="1"/>
  <c r="P109" i="14"/>
  <c r="M109" i="14"/>
  <c r="Q109" i="14" s="1"/>
  <c r="P108" i="14"/>
  <c r="L108" i="14"/>
  <c r="M108" i="14" s="1"/>
  <c r="Q108" i="14" s="1"/>
  <c r="Q107" i="14"/>
  <c r="P107" i="14"/>
  <c r="M107" i="14"/>
  <c r="Q106" i="14"/>
  <c r="M106" i="14"/>
  <c r="O105" i="14"/>
  <c r="M105" i="14"/>
  <c r="Q105" i="14" s="1"/>
  <c r="Q104" i="14"/>
  <c r="M104" i="14"/>
  <c r="M103" i="14"/>
  <c r="Q103" i="14" s="1"/>
  <c r="Q102" i="14"/>
  <c r="M102" i="14"/>
  <c r="E102" i="14"/>
  <c r="P101" i="14"/>
  <c r="O101" i="14"/>
  <c r="N101" i="14"/>
  <c r="M101" i="14"/>
  <c r="Q101" i="14" s="1"/>
  <c r="P100" i="14"/>
  <c r="O100" i="14"/>
  <c r="N100" i="14"/>
  <c r="M100" i="14"/>
  <c r="Q100" i="14" s="1"/>
  <c r="P99" i="14"/>
  <c r="M99" i="14"/>
  <c r="Q99" i="14" s="1"/>
  <c r="P98" i="14"/>
  <c r="O98" i="14"/>
  <c r="N98" i="14"/>
  <c r="K98" i="14"/>
  <c r="G98" i="14"/>
  <c r="E98" i="14"/>
  <c r="M98" i="14" s="1"/>
  <c r="Q98" i="14" s="1"/>
  <c r="Q97" i="14"/>
  <c r="P97" i="14"/>
  <c r="M97" i="14"/>
  <c r="M96" i="14"/>
  <c r="Q96" i="14" s="1"/>
  <c r="O95" i="14"/>
  <c r="M95" i="14"/>
  <c r="Q95" i="14" s="1"/>
  <c r="L95" i="14"/>
  <c r="P94" i="14"/>
  <c r="M94" i="14"/>
  <c r="Q94" i="14" s="1"/>
  <c r="Q93" i="14"/>
  <c r="P93" i="14"/>
  <c r="M93" i="14"/>
  <c r="P92" i="14"/>
  <c r="O92" i="14"/>
  <c r="N92" i="14"/>
  <c r="K92" i="14"/>
  <c r="M92" i="14" s="1"/>
  <c r="Q92" i="14" s="1"/>
  <c r="D92" i="14"/>
  <c r="P91" i="14"/>
  <c r="M91" i="14"/>
  <c r="Q91" i="14" s="1"/>
  <c r="L91" i="14"/>
  <c r="P90" i="14"/>
  <c r="N90" i="14"/>
  <c r="M90" i="14"/>
  <c r="Q90" i="14" s="1"/>
  <c r="P89" i="14"/>
  <c r="M89" i="14"/>
  <c r="Q89" i="14" s="1"/>
  <c r="P88" i="14"/>
  <c r="M88" i="14"/>
  <c r="Q88" i="14" s="1"/>
  <c r="P87" i="14"/>
  <c r="K87" i="14"/>
  <c r="M87" i="14" s="1"/>
  <c r="Q87" i="14" s="1"/>
  <c r="Q86" i="14"/>
  <c r="P86" i="14"/>
  <c r="M86" i="14"/>
  <c r="M85" i="14"/>
  <c r="Q85" i="14" s="1"/>
  <c r="P84" i="14"/>
  <c r="M84" i="14"/>
  <c r="Q84" i="14" s="1"/>
  <c r="K84" i="14"/>
  <c r="P83" i="14"/>
  <c r="M83" i="14"/>
  <c r="Q83" i="14" s="1"/>
  <c r="Q82" i="14"/>
  <c r="M82" i="14"/>
  <c r="M81" i="14"/>
  <c r="Q81" i="14" s="1"/>
  <c r="P80" i="14"/>
  <c r="O80" i="14"/>
  <c r="N80" i="14"/>
  <c r="M80" i="14"/>
  <c r="Q80" i="14" s="1"/>
  <c r="P79" i="14"/>
  <c r="O79" i="14"/>
  <c r="N79" i="14"/>
  <c r="M79" i="14"/>
  <c r="Q79" i="14" s="1"/>
  <c r="D79" i="14"/>
  <c r="P78" i="14"/>
  <c r="Q78" i="14" s="1"/>
  <c r="M78" i="14"/>
  <c r="P77" i="14"/>
  <c r="M77" i="14"/>
  <c r="Q77" i="14" s="1"/>
  <c r="P76" i="14"/>
  <c r="K76" i="14"/>
  <c r="M76" i="14" s="1"/>
  <c r="Q76" i="14" s="1"/>
  <c r="K75" i="14"/>
  <c r="G75" i="14"/>
  <c r="M75" i="14" s="1"/>
  <c r="Q75" i="14" s="1"/>
  <c r="N74" i="14"/>
  <c r="K74" i="14"/>
  <c r="M74" i="14" s="1"/>
  <c r="Q74" i="14" s="1"/>
  <c r="D74" i="14"/>
  <c r="O73" i="14"/>
  <c r="M73" i="14"/>
  <c r="Q73" i="14" s="1"/>
  <c r="K73" i="14"/>
  <c r="M72" i="14"/>
  <c r="Q72" i="14" s="1"/>
  <c r="P71" i="14"/>
  <c r="O71" i="14"/>
  <c r="N71" i="14"/>
  <c r="M71" i="14"/>
  <c r="Q71" i="14" s="1"/>
  <c r="K71" i="14"/>
  <c r="P70" i="14"/>
  <c r="O70" i="14"/>
  <c r="N70" i="14"/>
  <c r="K70" i="14"/>
  <c r="M70" i="14" s="1"/>
  <c r="Q70" i="14" s="1"/>
  <c r="Q69" i="14"/>
  <c r="O69" i="14"/>
  <c r="M69" i="14"/>
  <c r="M68" i="14"/>
  <c r="Q68" i="14" s="1"/>
  <c r="P67" i="14"/>
  <c r="M67" i="14"/>
  <c r="Q67" i="14" s="1"/>
  <c r="P66" i="14"/>
  <c r="K66" i="14"/>
  <c r="M66" i="14" s="1"/>
  <c r="Q66" i="14" s="1"/>
  <c r="K65" i="14"/>
  <c r="E65" i="14"/>
  <c r="M65" i="14" s="1"/>
  <c r="Q65" i="14" s="1"/>
  <c r="Q64" i="14"/>
  <c r="M64" i="14"/>
  <c r="P63" i="14"/>
  <c r="M63" i="14"/>
  <c r="Q63" i="14" s="1"/>
  <c r="L63" i="14"/>
  <c r="K63" i="14"/>
  <c r="M62" i="14"/>
  <c r="Q61" i="14"/>
  <c r="M61" i="14"/>
  <c r="D61" i="14"/>
  <c r="Q60" i="14"/>
  <c r="P60" i="14"/>
  <c r="M60" i="14"/>
  <c r="K60" i="14"/>
  <c r="P59" i="14"/>
  <c r="Q59" i="14" s="1"/>
  <c r="M59" i="14"/>
  <c r="K59" i="14"/>
  <c r="P58" i="14"/>
  <c r="P62" i="14" s="1"/>
  <c r="O58" i="14"/>
  <c r="O62" i="14" s="1"/>
  <c r="N58" i="14"/>
  <c r="N62" i="14" s="1"/>
  <c r="Q62" i="14" s="1"/>
  <c r="K58" i="14"/>
  <c r="M58" i="14" s="1"/>
  <c r="Q58" i="14" s="1"/>
  <c r="D58" i="14"/>
  <c r="M57" i="14"/>
  <c r="Q57" i="14" s="1"/>
  <c r="M56" i="14"/>
  <c r="Q56" i="14" s="1"/>
  <c r="Q55" i="14"/>
  <c r="P55" i="14"/>
  <c r="M55" i="14"/>
  <c r="P54" i="14"/>
  <c r="M54" i="14"/>
  <c r="Q54" i="14" s="1"/>
  <c r="L54" i="14"/>
  <c r="K54" i="14"/>
  <c r="Q53" i="14"/>
  <c r="M53" i="14"/>
  <c r="P52" i="14"/>
  <c r="K52" i="14"/>
  <c r="M52" i="14" s="1"/>
  <c r="Q52" i="14" s="1"/>
  <c r="Q51" i="14"/>
  <c r="M51" i="14"/>
  <c r="L50" i="14"/>
  <c r="M50" i="14" s="1"/>
  <c r="Q50" i="14" s="1"/>
  <c r="N49" i="14"/>
  <c r="M49" i="14"/>
  <c r="Q49" i="14" s="1"/>
  <c r="L49" i="14"/>
  <c r="K49" i="14"/>
  <c r="E49" i="14"/>
  <c r="O48" i="14"/>
  <c r="Q48" i="14" s="1"/>
  <c r="M48" i="14"/>
  <c r="N47" i="14"/>
  <c r="M47" i="14"/>
  <c r="Q47" i="14" s="1"/>
  <c r="K47" i="14"/>
  <c r="Q46" i="14"/>
  <c r="P46" i="14"/>
  <c r="M46" i="14"/>
  <c r="P45" i="14"/>
  <c r="O45" i="14"/>
  <c r="N45" i="14"/>
  <c r="M45" i="14"/>
  <c r="Q45" i="14" s="1"/>
  <c r="K45" i="14"/>
  <c r="G45" i="14"/>
  <c r="D45" i="14"/>
  <c r="P44" i="14"/>
  <c r="M44" i="14"/>
  <c r="Q44" i="14" s="1"/>
  <c r="L44" i="14"/>
  <c r="K44" i="14"/>
  <c r="Q43" i="14"/>
  <c r="P43" i="14"/>
  <c r="M43" i="14"/>
  <c r="K43" i="14"/>
  <c r="M42" i="14"/>
  <c r="Q42" i="14" s="1"/>
  <c r="M41" i="14"/>
  <c r="Q41" i="14" s="1"/>
  <c r="L40" i="14"/>
  <c r="M40" i="14" s="1"/>
  <c r="Q40" i="14" s="1"/>
  <c r="E40" i="14"/>
  <c r="P39" i="14"/>
  <c r="M39" i="14"/>
  <c r="Q39" i="14" s="1"/>
  <c r="P38" i="14"/>
  <c r="O38" i="14"/>
  <c r="N38" i="14"/>
  <c r="K38" i="14"/>
  <c r="D38" i="14"/>
  <c r="M38" i="14" s="1"/>
  <c r="Q38" i="14" s="1"/>
  <c r="M37" i="14"/>
  <c r="Q37" i="14" s="1"/>
  <c r="Q36" i="14"/>
  <c r="M36" i="14"/>
  <c r="Q35" i="14"/>
  <c r="P35" i="14"/>
  <c r="M35" i="14"/>
  <c r="Q34" i="14"/>
  <c r="M34" i="14"/>
  <c r="P33" i="14"/>
  <c r="O33" i="14"/>
  <c r="N33" i="14"/>
  <c r="K33" i="14"/>
  <c r="M33" i="14" s="1"/>
  <c r="Q33" i="14" s="1"/>
  <c r="Q32" i="14"/>
  <c r="P32" i="14"/>
  <c r="M32" i="14"/>
  <c r="Q31" i="14"/>
  <c r="N31" i="14"/>
  <c r="M31" i="14"/>
  <c r="M30" i="14"/>
  <c r="Q30" i="14" s="1"/>
  <c r="Q29" i="14"/>
  <c r="P29" i="14"/>
  <c r="O29" i="14"/>
  <c r="N29" i="14"/>
  <c r="M29" i="14"/>
  <c r="Q28" i="14"/>
  <c r="M28" i="14"/>
  <c r="P27" i="14"/>
  <c r="M27" i="14"/>
  <c r="Q27" i="14" s="1"/>
  <c r="P26" i="14"/>
  <c r="O26" i="14"/>
  <c r="N26" i="14"/>
  <c r="L26" i="14"/>
  <c r="K26" i="14"/>
  <c r="M26" i="14" s="1"/>
  <c r="Q26" i="14" s="1"/>
  <c r="Q25" i="14"/>
  <c r="P25" i="14"/>
  <c r="O25" i="14"/>
  <c r="N25" i="14"/>
  <c r="M25" i="14"/>
  <c r="P24" i="14"/>
  <c r="O24" i="14"/>
  <c r="N24" i="14"/>
  <c r="M24" i="14"/>
  <c r="Q24" i="14" s="1"/>
  <c r="Q23" i="14"/>
  <c r="P23" i="14"/>
  <c r="M23" i="14"/>
  <c r="K23" i="14"/>
  <c r="P22" i="14"/>
  <c r="M22" i="14"/>
  <c r="Q22" i="14" s="1"/>
  <c r="Q21" i="14"/>
  <c r="P21" i="14"/>
  <c r="M21" i="14"/>
  <c r="P20" i="14"/>
  <c r="O20" i="14"/>
  <c r="N20" i="14"/>
  <c r="M20" i="14"/>
  <c r="Q20" i="14" s="1"/>
  <c r="K20" i="14"/>
  <c r="D20" i="14"/>
  <c r="P19" i="14"/>
  <c r="N19" i="14"/>
  <c r="D19" i="14"/>
  <c r="M19" i="14" s="1"/>
  <c r="Q19" i="14" s="1"/>
  <c r="Q18" i="14"/>
  <c r="P18" i="14"/>
  <c r="O18" i="14"/>
  <c r="N18" i="14"/>
  <c r="M18" i="14"/>
  <c r="L18" i="14"/>
  <c r="K18" i="14"/>
  <c r="Q17" i="14"/>
  <c r="P17" i="14"/>
  <c r="M17" i="14"/>
  <c r="K17" i="14"/>
  <c r="M16" i="14"/>
  <c r="Q16" i="14" s="1"/>
  <c r="K16" i="14"/>
  <c r="E16" i="14"/>
  <c r="Q15" i="14"/>
  <c r="M15" i="14"/>
  <c r="Q14" i="14"/>
  <c r="M14" i="14"/>
  <c r="P13" i="14"/>
  <c r="L13" i="14"/>
  <c r="M13" i="14" s="1"/>
  <c r="Q13" i="14" s="1"/>
  <c r="Q12" i="14"/>
  <c r="P12" i="14"/>
  <c r="M12" i="14"/>
  <c r="K12" i="14"/>
  <c r="P11" i="14"/>
  <c r="O11" i="14"/>
  <c r="N11" i="14"/>
  <c r="M11" i="14"/>
  <c r="Q11" i="14" s="1"/>
  <c r="Q10" i="14"/>
  <c r="P10" i="14"/>
  <c r="O10" i="14"/>
  <c r="N10" i="14"/>
  <c r="M10" i="14"/>
  <c r="E10" i="14"/>
  <c r="P9" i="14"/>
  <c r="M9" i="14"/>
  <c r="Q9" i="14" s="1"/>
  <c r="Q8" i="14"/>
  <c r="M8" i="14"/>
  <c r="M7" i="14"/>
  <c r="Q7" i="14" s="1"/>
  <c r="K7" i="14"/>
  <c r="P6" i="14"/>
  <c r="O6" i="14"/>
  <c r="N6" i="14"/>
  <c r="M6" i="14"/>
  <c r="Q6" i="14" s="1"/>
  <c r="M5" i="14"/>
  <c r="Q5" i="14" s="1"/>
  <c r="P4" i="14"/>
  <c r="M4" i="14"/>
  <c r="Q4" i="14" s="1"/>
  <c r="K4" i="14"/>
  <c r="P3" i="14"/>
  <c r="P123" i="14" s="1"/>
  <c r="O3" i="14"/>
  <c r="O123" i="14" s="1"/>
  <c r="N3" i="14"/>
  <c r="N123" i="14" s="1"/>
  <c r="L3" i="14"/>
  <c r="L123" i="14" s="1"/>
  <c r="K3" i="14"/>
  <c r="K123" i="14" s="1"/>
  <c r="J3" i="14"/>
  <c r="I3" i="14"/>
  <c r="I123" i="14" s="1"/>
  <c r="H3" i="14"/>
  <c r="H123" i="14" s="1"/>
  <c r="G3" i="14"/>
  <c r="G123" i="14" s="1"/>
  <c r="F3" i="14"/>
  <c r="F123" i="14" s="1"/>
  <c r="E3" i="14"/>
  <c r="E123" i="14" s="1"/>
  <c r="D3" i="14"/>
  <c r="D123" i="14" s="1"/>
  <c r="C3" i="14"/>
  <c r="M3" i="14" s="1"/>
  <c r="Q3" i="14" l="1"/>
  <c r="Q123" i="14" s="1"/>
  <c r="M123" i="14"/>
  <c r="C123" i="14"/>
  <c r="D128" i="12" l="1"/>
  <c r="T128" i="12" s="1"/>
  <c r="E128" i="12"/>
  <c r="F128" i="12"/>
  <c r="G128" i="12"/>
  <c r="H128" i="12"/>
  <c r="I128" i="12"/>
  <c r="J128" i="12"/>
  <c r="K128" i="12"/>
  <c r="L128" i="12"/>
  <c r="M128" i="12"/>
  <c r="N128" i="12"/>
  <c r="O128" i="12"/>
  <c r="P128" i="12"/>
  <c r="Q128" i="12"/>
  <c r="R128" i="12"/>
  <c r="S128" i="12"/>
  <c r="T127" i="13"/>
  <c r="P127" i="13"/>
  <c r="Q127" i="13"/>
  <c r="R127" i="13"/>
  <c r="S127" i="13"/>
  <c r="F135" i="4"/>
  <c r="G135" i="4"/>
  <c r="H135" i="4"/>
  <c r="I135" i="4"/>
  <c r="J135" i="4"/>
  <c r="K135" i="4"/>
  <c r="L135" i="4"/>
  <c r="M135" i="4"/>
  <c r="N135" i="4"/>
  <c r="O135" i="4"/>
  <c r="P135" i="4"/>
  <c r="Q135" i="4"/>
  <c r="R135" i="4"/>
  <c r="S135" i="4"/>
  <c r="K125" i="2"/>
  <c r="L125" i="2"/>
  <c r="M125" i="2"/>
  <c r="N125" i="2"/>
  <c r="O125" i="2"/>
  <c r="P125" i="2"/>
  <c r="Q125" i="2"/>
  <c r="R125" i="2"/>
  <c r="S125" i="2"/>
  <c r="D125" i="2"/>
  <c r="E125" i="2"/>
  <c r="F125" i="2"/>
  <c r="G125" i="2"/>
  <c r="H125" i="2"/>
  <c r="I125" i="2"/>
  <c r="J125" i="2"/>
  <c r="T71" i="12"/>
  <c r="T92" i="12"/>
  <c r="T10" i="12"/>
  <c r="T83" i="12" l="1"/>
  <c r="T4" i="12"/>
  <c r="T75" i="12"/>
  <c r="T97" i="12"/>
  <c r="T91" i="12"/>
  <c r="T77" i="12"/>
  <c r="T66" i="12"/>
  <c r="T101" i="12"/>
  <c r="T85" i="12"/>
  <c r="T120" i="12"/>
  <c r="T36" i="12"/>
  <c r="T126" i="12"/>
  <c r="T22" i="12"/>
  <c r="T125" i="12"/>
  <c r="T24" i="12"/>
  <c r="T42" i="12" l="1"/>
  <c r="T67" i="12"/>
  <c r="T19" i="12" l="1"/>
  <c r="T78" i="12" l="1"/>
  <c r="T58" i="12"/>
  <c r="T87" i="12"/>
  <c r="T6" i="12"/>
  <c r="T70" i="12"/>
  <c r="T64" i="12"/>
  <c r="T114" i="12"/>
  <c r="T28" i="12"/>
  <c r="T21" i="12"/>
  <c r="T11" i="12"/>
  <c r="T31" i="12"/>
  <c r="T69" i="12" l="1"/>
  <c r="T119" i="12"/>
  <c r="T43" i="12"/>
  <c r="T74" i="12"/>
  <c r="T17" i="12" l="1"/>
  <c r="T48" i="12"/>
  <c r="T37" i="12"/>
  <c r="T115" i="12" l="1"/>
  <c r="T108" i="12"/>
  <c r="T2" i="12"/>
  <c r="T90" i="12"/>
  <c r="T65" i="12"/>
  <c r="T52" i="12"/>
  <c r="T51" i="12"/>
  <c r="T47" i="12"/>
  <c r="T26" i="12"/>
  <c r="T106" i="12"/>
  <c r="T8" i="12"/>
  <c r="T121" i="12"/>
  <c r="T112" i="12"/>
  <c r="T113" i="12"/>
  <c r="T34" i="12"/>
  <c r="T27" i="12"/>
  <c r="T111" i="12"/>
  <c r="T99" i="12"/>
  <c r="T81" i="12"/>
  <c r="T25" i="12"/>
  <c r="T54" i="12"/>
  <c r="T53" i="12"/>
  <c r="T76" i="12"/>
  <c r="T61" i="12"/>
  <c r="T46" i="12"/>
  <c r="T107" i="12"/>
  <c r="T29" i="12"/>
  <c r="T105" i="12"/>
  <c r="T80" i="12"/>
  <c r="T59" i="12"/>
  <c r="T3" i="12"/>
  <c r="T110" i="12"/>
  <c r="T123" i="12"/>
  <c r="T124" i="12"/>
  <c r="T117" i="12"/>
  <c r="T16" i="12"/>
  <c r="T20" i="12" l="1"/>
  <c r="T5" i="12" l="1"/>
  <c r="T35" i="12"/>
  <c r="T82" i="12"/>
  <c r="T9" i="12"/>
  <c r="T96" i="12"/>
  <c r="T73" i="12"/>
  <c r="T38" i="12"/>
  <c r="T55" i="12"/>
  <c r="T49" i="12"/>
  <c r="T116" i="12"/>
  <c r="T89" i="12"/>
  <c r="T30" i="12"/>
  <c r="T44" i="12"/>
  <c r="T15" i="12"/>
  <c r="T7" i="12"/>
  <c r="T86" i="12"/>
  <c r="T40" i="12"/>
  <c r="N127" i="13"/>
  <c r="O127" i="13"/>
  <c r="K127" i="13"/>
  <c r="L127" i="13"/>
  <c r="M127" i="13"/>
  <c r="J127" i="13"/>
  <c r="H127" i="13"/>
  <c r="I127" i="13"/>
  <c r="G127" i="13"/>
  <c r="F127" i="13"/>
  <c r="E127" i="13"/>
  <c r="D127" i="13"/>
  <c r="T23" i="13"/>
  <c r="T69" i="13"/>
  <c r="T60" i="13"/>
  <c r="T33" i="13"/>
  <c r="T13" i="13"/>
  <c r="T124" i="13"/>
  <c r="T77" i="13"/>
  <c r="T71" i="13"/>
  <c r="T30" i="13" l="1"/>
  <c r="T27" i="13"/>
  <c r="T67" i="13"/>
  <c r="T65" i="13"/>
  <c r="T87" i="13"/>
  <c r="T109" i="13" l="1"/>
  <c r="T101" i="13"/>
  <c r="T102" i="13"/>
  <c r="T62" i="13"/>
  <c r="T61" i="13"/>
  <c r="T66" i="13"/>
  <c r="T56" i="13"/>
  <c r="T93" i="13"/>
  <c r="T122" i="13"/>
  <c r="T123" i="13"/>
  <c r="T80" i="13"/>
  <c r="T73" i="13"/>
  <c r="T11" i="13"/>
  <c r="T82" i="13"/>
  <c r="T84" i="13"/>
  <c r="T90" i="13" l="1"/>
  <c r="T68" i="13"/>
  <c r="T96" i="13"/>
  <c r="T103" i="13"/>
  <c r="T9" i="13"/>
  <c r="T37" i="13"/>
  <c r="T28" i="13"/>
  <c r="T113" i="13" l="1"/>
  <c r="T117" i="13"/>
  <c r="T74" i="13"/>
  <c r="T70" i="13"/>
  <c r="T6" i="13"/>
  <c r="T32" i="13"/>
  <c r="T91" i="13"/>
  <c r="T107" i="13"/>
  <c r="T119" i="13"/>
  <c r="T81" i="13"/>
  <c r="T2" i="13"/>
  <c r="T18" i="13"/>
  <c r="T89" i="13"/>
  <c r="T47" i="13"/>
  <c r="T57" i="13"/>
  <c r="T41" i="13"/>
  <c r="T120" i="13"/>
  <c r="T42" i="13"/>
  <c r="T36" i="13"/>
  <c r="T4" i="13"/>
  <c r="T17" i="13"/>
  <c r="T14" i="13"/>
  <c r="T39" i="13"/>
  <c r="T64" i="13"/>
  <c r="T125" i="13"/>
  <c r="T26" i="13"/>
  <c r="T24" i="13" l="1"/>
  <c r="T106" i="13"/>
  <c r="T19" i="13"/>
  <c r="T25" i="13" l="1"/>
  <c r="T34" i="13"/>
  <c r="T121" i="13" l="1"/>
  <c r="T44" i="13"/>
  <c r="T12" i="13"/>
  <c r="T76" i="13"/>
  <c r="T112" i="13"/>
  <c r="T78" i="13"/>
  <c r="T48" i="13"/>
  <c r="T52" i="13"/>
  <c r="T53" i="13"/>
  <c r="T118" i="13"/>
  <c r="T29" i="13"/>
  <c r="T46" i="13"/>
  <c r="T79" i="13"/>
  <c r="T75" i="13"/>
  <c r="T3" i="13"/>
  <c r="T111" i="13" l="1"/>
  <c r="T86" i="13"/>
  <c r="T104" i="13"/>
  <c r="T31" i="13"/>
  <c r="T105" i="13" l="1"/>
  <c r="T22" i="13"/>
  <c r="T51" i="13"/>
  <c r="T43" i="13"/>
  <c r="T8" i="13"/>
  <c r="T5" i="13"/>
  <c r="T10" i="13"/>
  <c r="T114" i="13"/>
  <c r="T20" i="13"/>
  <c r="T97" i="13" l="1"/>
  <c r="T35" i="13"/>
  <c r="T58" i="13" l="1"/>
  <c r="T94" i="13" l="1"/>
  <c r="T85" i="13"/>
  <c r="T63" i="13" l="1"/>
  <c r="T54" i="13" l="1"/>
  <c r="T83" i="13" l="1"/>
  <c r="T88" i="13" l="1"/>
  <c r="T49" i="13"/>
  <c r="T98" i="13" l="1"/>
  <c r="T15" i="13"/>
  <c r="T108" i="13" l="1"/>
  <c r="T116" i="13" l="1"/>
  <c r="T115" i="13"/>
  <c r="T7" i="13" l="1"/>
  <c r="T72" i="13" l="1"/>
  <c r="T16" i="13"/>
  <c r="T100" i="13" l="1"/>
  <c r="T38" i="13"/>
  <c r="T110" i="13"/>
  <c r="T40" i="13" l="1"/>
  <c r="T95" i="13" l="1"/>
  <c r="T67" i="2" l="1"/>
  <c r="T33" i="4" l="1"/>
  <c r="T107" i="4" l="1"/>
  <c r="T14" i="4" l="1"/>
  <c r="T21" i="4" l="1"/>
  <c r="T110" i="4" l="1"/>
  <c r="T117" i="4" l="1"/>
  <c r="T33" i="2" l="1"/>
  <c r="T39" i="4"/>
  <c r="T51" i="4" l="1"/>
  <c r="T72" i="4"/>
  <c r="T128" i="4"/>
  <c r="T43" i="4" l="1"/>
  <c r="T132" i="4" l="1"/>
  <c r="T29" i="4" l="1"/>
  <c r="T20" i="4" l="1"/>
  <c r="T73" i="4" l="1"/>
  <c r="T48" i="4" l="1"/>
  <c r="T36" i="4" l="1"/>
  <c r="T94" i="4" l="1"/>
  <c r="T80" i="4" l="1"/>
  <c r="T127" i="4" l="1"/>
  <c r="T60" i="4" l="1"/>
  <c r="T65" i="4" l="1"/>
  <c r="T115" i="4" l="1"/>
  <c r="T58" i="4" l="1"/>
  <c r="T121" i="4" l="1"/>
  <c r="T88" i="4" l="1"/>
  <c r="T53" i="4" l="1"/>
  <c r="T67" i="4" l="1"/>
  <c r="T90" i="4" l="1"/>
  <c r="T125" i="4" l="1"/>
  <c r="T61" i="4" l="1"/>
  <c r="T100" i="4" l="1"/>
  <c r="T106" i="4" l="1"/>
  <c r="T34" i="4" l="1"/>
  <c r="T41" i="4" l="1"/>
  <c r="T71" i="4" l="1"/>
  <c r="T74" i="4" l="1"/>
  <c r="T26" i="4" l="1"/>
  <c r="T25" i="4"/>
  <c r="T17" i="4" l="1"/>
  <c r="T16" i="4" l="1"/>
  <c r="T4" i="4" l="1"/>
  <c r="T84" i="4" l="1"/>
  <c r="T86" i="4" l="1"/>
  <c r="T103" i="4" l="1"/>
  <c r="T56" i="4" l="1"/>
  <c r="T75" i="4" l="1"/>
  <c r="T38" i="4" l="1"/>
  <c r="T31" i="4" l="1"/>
  <c r="T116" i="4" l="1"/>
  <c r="T7" i="4"/>
  <c r="T19" i="4" l="1"/>
  <c r="T111" i="4" l="1"/>
  <c r="T99" i="4" l="1"/>
  <c r="T40" i="4" l="1"/>
  <c r="T101" i="4" l="1"/>
  <c r="T122" i="4"/>
  <c r="T30" i="4" l="1"/>
  <c r="T87" i="4" l="1"/>
  <c r="T78" i="4" l="1"/>
  <c r="T97" i="4" l="1"/>
  <c r="T96" i="4"/>
  <c r="T47" i="4"/>
  <c r="T120" i="4"/>
  <c r="T108" i="4" l="1"/>
  <c r="T57" i="4" l="1"/>
  <c r="T82" i="4" l="1"/>
  <c r="T77" i="4"/>
  <c r="T27" i="4" l="1"/>
  <c r="T10" i="4" l="1"/>
  <c r="T76" i="4" l="1"/>
  <c r="T66" i="4" l="1"/>
  <c r="T133" i="4" l="1"/>
  <c r="T3" i="4" l="1"/>
  <c r="T49" i="4" l="1"/>
  <c r="T6" i="4"/>
  <c r="T119" i="4" l="1"/>
  <c r="T9" i="4" l="1"/>
  <c r="T8" i="4" l="1"/>
  <c r="T37" i="4" l="1"/>
  <c r="T62" i="4" l="1"/>
  <c r="T32" i="4" l="1"/>
  <c r="T70" i="4" l="1"/>
  <c r="T35" i="4" l="1"/>
  <c r="T114" i="4" l="1"/>
  <c r="T89" i="4" l="1"/>
  <c r="T15" i="4" l="1"/>
  <c r="T5" i="4" l="1"/>
  <c r="T13" i="4" l="1"/>
  <c r="T12" i="4" l="1"/>
  <c r="T11" i="4"/>
  <c r="T79" i="4" l="1"/>
  <c r="T105" i="4"/>
  <c r="T68" i="4" l="1"/>
  <c r="T81" i="4" l="1"/>
  <c r="T69" i="4" l="1"/>
  <c r="T50" i="4" l="1"/>
  <c r="T129" i="4" l="1"/>
  <c r="T54" i="4"/>
  <c r="T118" i="4" l="1"/>
  <c r="T95" i="4" l="1"/>
  <c r="T104" i="4" l="1"/>
  <c r="T42" i="4" l="1"/>
  <c r="T46" i="4" l="1"/>
  <c r="T83" i="4" l="1"/>
  <c r="T126" i="4" l="1"/>
  <c r="T59" i="4" l="1"/>
  <c r="T98" i="4" l="1"/>
  <c r="T18" i="4" l="1"/>
  <c r="T123" i="4" l="1"/>
  <c r="T24" i="4" l="1"/>
  <c r="T23" i="4"/>
  <c r="T44" i="4" l="1"/>
  <c r="T112" i="4" l="1"/>
  <c r="T22" i="4" l="1"/>
  <c r="T52" i="4" l="1"/>
  <c r="T64" i="4" l="1"/>
  <c r="T131" i="4" l="1"/>
  <c r="T130" i="4"/>
  <c r="T93" i="4"/>
  <c r="T92" i="4" l="1"/>
  <c r="T45" i="4"/>
  <c r="T124" i="4" l="1"/>
  <c r="T91" i="4" l="1"/>
  <c r="T102" i="4"/>
  <c r="T55" i="4" l="1"/>
  <c r="D135" i="4" l="1"/>
  <c r="E135" i="4"/>
  <c r="T2" i="4"/>
  <c r="T135" i="4" l="1"/>
  <c r="T37" i="2"/>
  <c r="T62" i="2" l="1"/>
  <c r="T85" i="2"/>
  <c r="T18" i="2" l="1"/>
  <c r="T80" i="2" l="1"/>
  <c r="T13" i="2" l="1"/>
  <c r="T97" i="2" l="1"/>
  <c r="T100" i="2" l="1"/>
  <c r="T45" i="2" l="1"/>
  <c r="T122" i="2" l="1"/>
  <c r="T101" i="2" l="1"/>
  <c r="T72" i="2" l="1"/>
  <c r="T68" i="2" l="1"/>
  <c r="T14" i="2" l="1"/>
  <c r="T19" i="2" l="1"/>
  <c r="T66" i="2" l="1"/>
  <c r="T60" i="2" l="1"/>
  <c r="T89" i="2" l="1"/>
  <c r="T28" i="2" l="1"/>
  <c r="T4" i="2" l="1"/>
  <c r="T9" i="2" l="1"/>
  <c r="T63" i="2" l="1"/>
  <c r="T94" i="2" l="1"/>
  <c r="T43" i="2" l="1"/>
  <c r="T41" i="2" l="1"/>
  <c r="T104" i="2" l="1"/>
  <c r="T119" i="2" l="1"/>
  <c r="T27" i="2" l="1"/>
  <c r="T12" i="2" l="1"/>
  <c r="T88" i="2" l="1"/>
  <c r="T6" i="2" l="1"/>
  <c r="T32" i="2" l="1"/>
  <c r="T23" i="2" l="1"/>
  <c r="T56" i="2" l="1"/>
  <c r="T87" i="2" l="1"/>
  <c r="T47" i="2" l="1"/>
  <c r="T99" i="2" l="1"/>
  <c r="T79" i="2" l="1"/>
  <c r="T29" i="2"/>
  <c r="T59" i="2" l="1"/>
  <c r="T25" i="2" l="1"/>
  <c r="T50" i="2" l="1"/>
  <c r="T31" i="2" l="1"/>
  <c r="T53" i="2"/>
  <c r="T52" i="2" l="1"/>
  <c r="T111" i="2" l="1"/>
  <c r="T34" i="2" l="1"/>
  <c r="T74" i="2" l="1"/>
  <c r="T118" i="2" l="1"/>
  <c r="T115" i="2" l="1"/>
  <c r="T77" i="2" l="1"/>
  <c r="T91" i="2" l="1"/>
  <c r="T2" i="2" l="1"/>
  <c r="T11" i="2" l="1"/>
  <c r="T116" i="2" l="1"/>
  <c r="T75" i="2" l="1"/>
  <c r="T78" i="2" l="1"/>
  <c r="T22" i="2" l="1"/>
  <c r="T121" i="2" l="1"/>
  <c r="T120" i="2" l="1"/>
  <c r="T105" i="2" l="1"/>
  <c r="T16" i="2"/>
  <c r="T17" i="2" l="1"/>
  <c r="T107" i="2" l="1"/>
  <c r="T112" i="2" l="1"/>
  <c r="T64" i="2" l="1"/>
  <c r="T76" i="2" l="1"/>
  <c r="T109" i="2" l="1"/>
  <c r="T69" i="2" l="1"/>
  <c r="T15" i="2" l="1"/>
  <c r="T24" i="2" l="1"/>
  <c r="T36" i="2" l="1"/>
  <c r="T84" i="2" l="1"/>
  <c r="T123" i="2" l="1"/>
  <c r="T102" i="2" l="1"/>
  <c r="T71" i="2" l="1"/>
  <c r="T51" i="2" l="1"/>
  <c r="T117" i="2" l="1"/>
  <c r="T5" i="2" l="1"/>
  <c r="T30" i="2" l="1"/>
  <c r="T48" i="2" l="1"/>
  <c r="T26" i="2" l="1"/>
  <c r="T44" i="2" l="1"/>
  <c r="T110" i="2" l="1"/>
  <c r="T20" i="2" l="1"/>
  <c r="T8" i="2" l="1"/>
  <c r="T46" i="2" l="1"/>
  <c r="T90" i="2" l="1"/>
  <c r="T3" i="2" l="1"/>
  <c r="T42" i="2" l="1"/>
  <c r="T57" i="2" l="1"/>
  <c r="T35" i="2" l="1"/>
  <c r="T81" i="2" l="1"/>
  <c r="T92" i="2" l="1"/>
  <c r="T55" i="2" l="1"/>
  <c r="T95" i="2" l="1"/>
  <c r="T49" i="2" l="1"/>
  <c r="T10" i="2" l="1"/>
  <c r="T113" i="2" l="1"/>
  <c r="T96" i="2" l="1"/>
  <c r="T73" i="2" l="1"/>
  <c r="T7" i="2" l="1"/>
  <c r="T98" i="2" l="1"/>
  <c r="T93" i="2" l="1"/>
  <c r="T54" i="2" l="1"/>
  <c r="T70" i="2" l="1"/>
  <c r="T65" i="2" l="1"/>
  <c r="T40" i="2" l="1"/>
  <c r="T58" i="2" l="1"/>
  <c r="T61" i="2" l="1"/>
  <c r="T106" i="2" l="1"/>
  <c r="T108" i="2" l="1"/>
  <c r="T114" i="2" l="1"/>
  <c r="T83" i="2" l="1"/>
  <c r="T86" i="2" l="1"/>
  <c r="T38" i="2" l="1"/>
  <c r="T12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REV4711</author>
  </authors>
  <commentList>
    <comment ref="T113" authorId="0" shapeId="0" xr:uid="{00000000-0006-0000-0100-000001000000}">
      <text>
        <r>
          <rPr>
            <b/>
            <sz val="9"/>
            <color indexed="81"/>
            <rFont val="Tahoma"/>
            <family val="2"/>
          </rPr>
          <t>REV4711:</t>
        </r>
        <r>
          <rPr>
            <sz val="9"/>
            <color indexed="81"/>
            <rFont val="Tahoma"/>
            <family val="2"/>
          </rPr>
          <t xml:space="preserve">
Off $21.05 shoud be $51070.35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REV4711</author>
  </authors>
  <commentList>
    <comment ref="L83" authorId="0" shapeId="0" xr:uid="{00000000-0006-0000-0300-000001000000}">
      <text>
        <r>
          <rPr>
            <b/>
            <sz val="9"/>
            <color indexed="81"/>
            <rFont val="Tahoma"/>
            <family val="2"/>
          </rPr>
          <t>REV4711:</t>
        </r>
        <r>
          <rPr>
            <sz val="9"/>
            <color indexed="81"/>
            <rFont val="Tahoma"/>
            <family val="2"/>
          </rPr>
          <t xml:space="preserve">
junior college</t>
        </r>
      </text>
    </comment>
    <comment ref="J92" authorId="0" shapeId="0" xr:uid="{00000000-0006-0000-0300-000002000000}">
      <text>
        <r>
          <rPr>
            <b/>
            <sz val="9"/>
            <color indexed="81"/>
            <rFont val="Tahoma"/>
            <family val="2"/>
          </rPr>
          <t>REV4711:</t>
        </r>
        <r>
          <rPr>
            <sz val="9"/>
            <color indexed="81"/>
            <rFont val="Tahoma"/>
            <family val="2"/>
          </rPr>
          <t xml:space="preserve">
CITY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REV4711</author>
  </authors>
  <commentList>
    <comment ref="J86" authorId="0" shapeId="0" xr:uid="{00000000-0006-0000-0400-000002000000}">
      <text>
        <r>
          <rPr>
            <b/>
            <sz val="9"/>
            <color indexed="81"/>
            <rFont val="Tahoma"/>
            <family val="2"/>
          </rPr>
          <t>REV4711:</t>
        </r>
        <r>
          <rPr>
            <sz val="9"/>
            <color indexed="81"/>
            <rFont val="Tahoma"/>
            <family val="2"/>
          </rPr>
          <t xml:space="preserve">
CITY</t>
        </r>
      </text>
    </comment>
    <comment ref="U104" authorId="0" shapeId="0" xr:uid="{65DFAE7B-8E40-4421-BA37-B8007C039350}">
      <text>
        <r>
          <rPr>
            <b/>
            <sz val="9"/>
            <color indexed="81"/>
            <rFont val="Tahoma"/>
            <family val="2"/>
          </rPr>
          <t>REV4711:</t>
        </r>
        <r>
          <rPr>
            <sz val="9"/>
            <color indexed="81"/>
            <rFont val="Tahoma"/>
            <family val="2"/>
          </rPr>
          <t xml:space="preserve">
167.00 DIFFERENCE 
</t>
        </r>
      </text>
    </comment>
    <comment ref="U105" authorId="0" shapeId="0" xr:uid="{BEA2527A-F176-4CFE-BFC0-AE405701E7BC}">
      <text>
        <r>
          <rPr>
            <b/>
            <sz val="9"/>
            <color indexed="81"/>
            <rFont val="Tahoma"/>
            <family val="2"/>
          </rPr>
          <t>REV4711:</t>
        </r>
        <r>
          <rPr>
            <sz val="9"/>
            <color indexed="81"/>
            <rFont val="Tahoma"/>
            <family val="2"/>
          </rPr>
          <t xml:space="preserve">
One bill pas paid prior to the sale actually $ 4004.43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REV4711</author>
  </authors>
  <commentList>
    <comment ref="J87" authorId="0" shapeId="0" xr:uid="{B3F97C8D-848F-48B0-BBDD-495EA8D459B5}">
      <text>
        <r>
          <rPr>
            <b/>
            <sz val="9"/>
            <color indexed="81"/>
            <rFont val="Tahoma"/>
            <family val="2"/>
          </rPr>
          <t>REV4711:</t>
        </r>
        <r>
          <rPr>
            <sz val="9"/>
            <color indexed="81"/>
            <rFont val="Tahoma"/>
            <family val="2"/>
          </rPr>
          <t xml:space="preserve">
CITY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REV4711</author>
  </authors>
  <commentList>
    <comment ref="J84" authorId="0" shapeId="0" xr:uid="{88FCD07A-CC3F-4D53-BC88-CB92E93CE3FA}">
      <text>
        <r>
          <rPr>
            <b/>
            <sz val="9"/>
            <color indexed="81"/>
            <rFont val="Tahoma"/>
            <family val="2"/>
          </rPr>
          <t>REV4711:</t>
        </r>
        <r>
          <rPr>
            <sz val="9"/>
            <color indexed="81"/>
            <rFont val="Tahoma"/>
            <family val="2"/>
          </rPr>
          <t xml:space="preserve">
CITY</t>
        </r>
      </text>
    </comment>
  </commentList>
</comments>
</file>

<file path=xl/sharedStrings.xml><?xml version="1.0" encoding="utf-8"?>
<sst xmlns="http://schemas.openxmlformats.org/spreadsheetml/2006/main" count="907" uniqueCount="326">
  <si>
    <t xml:space="preserve">County Name </t>
  </si>
  <si>
    <t>State Tax</t>
  </si>
  <si>
    <t>County Tax</t>
  </si>
  <si>
    <t xml:space="preserve">School Tax </t>
  </si>
  <si>
    <t>Sheriff Fees</t>
  </si>
  <si>
    <t>Atty Fees</t>
  </si>
  <si>
    <t>ADAIR</t>
  </si>
  <si>
    <t>ALLEN</t>
  </si>
  <si>
    <t>ANDERSON</t>
  </si>
  <si>
    <t>BALLARD</t>
  </si>
  <si>
    <t>BARREN</t>
  </si>
  <si>
    <t>BATH</t>
  </si>
  <si>
    <t>BELL</t>
  </si>
  <si>
    <t>BOONE</t>
  </si>
  <si>
    <t>BOURBON</t>
  </si>
  <si>
    <t>BOYD</t>
  </si>
  <si>
    <t>BOYLE</t>
  </si>
  <si>
    <t>BRACKEN</t>
  </si>
  <si>
    <t>BREATHITT</t>
  </si>
  <si>
    <t>BRECKINRIDGE</t>
  </si>
  <si>
    <t>BULLITT</t>
  </si>
  <si>
    <t>BUTLER</t>
  </si>
  <si>
    <t>CALDWELL</t>
  </si>
  <si>
    <t>CALLOWAY</t>
  </si>
  <si>
    <t>CAMPBELL</t>
  </si>
  <si>
    <t>CARLISLE</t>
  </si>
  <si>
    <t>CARROLL</t>
  </si>
  <si>
    <t>CARTER</t>
  </si>
  <si>
    <t>CASEY</t>
  </si>
  <si>
    <t xml:space="preserve">CHRISTIAN </t>
  </si>
  <si>
    <t>CLARK</t>
  </si>
  <si>
    <t>CLAY</t>
  </si>
  <si>
    <t>CLINTON</t>
  </si>
  <si>
    <t>CRITTENDEN</t>
  </si>
  <si>
    <t>CUMBERLAND</t>
  </si>
  <si>
    <t>DAVIESS</t>
  </si>
  <si>
    <t>EDMONSON</t>
  </si>
  <si>
    <t>ELLIOTT</t>
  </si>
  <si>
    <t>ESTILL</t>
  </si>
  <si>
    <t>FAYETTE</t>
  </si>
  <si>
    <t>FLEMING</t>
  </si>
  <si>
    <t>FLOYD</t>
  </si>
  <si>
    <t>FRANKLIN</t>
  </si>
  <si>
    <t>FULTON</t>
  </si>
  <si>
    <t>GALLATIN</t>
  </si>
  <si>
    <t>GARRARD</t>
  </si>
  <si>
    <t>GRANT</t>
  </si>
  <si>
    <t>GRAVES</t>
  </si>
  <si>
    <t>GRAYSON</t>
  </si>
  <si>
    <t>GREEN</t>
  </si>
  <si>
    <t>GREENUP</t>
  </si>
  <si>
    <t>HANCOCK</t>
  </si>
  <si>
    <t>HARDIN</t>
  </si>
  <si>
    <t>HARLAN</t>
  </si>
  <si>
    <t>HARRISON</t>
  </si>
  <si>
    <t>HART</t>
  </si>
  <si>
    <t>HENDERSON</t>
  </si>
  <si>
    <t>HENRY</t>
  </si>
  <si>
    <t>HICKMAN</t>
  </si>
  <si>
    <t>HOPKINS</t>
  </si>
  <si>
    <t>JACKSON</t>
  </si>
  <si>
    <t>JEFFRESON</t>
  </si>
  <si>
    <t>JESSAMINE</t>
  </si>
  <si>
    <t>JOHNSON</t>
  </si>
  <si>
    <t>KENTON</t>
  </si>
  <si>
    <t>KNOTT</t>
  </si>
  <si>
    <t>KNOX</t>
  </si>
  <si>
    <t>LARUE</t>
  </si>
  <si>
    <t>LAUREL</t>
  </si>
  <si>
    <t>LAWRENCE</t>
  </si>
  <si>
    <t>LEE</t>
  </si>
  <si>
    <t>LESLIE</t>
  </si>
  <si>
    <t>LETCHER</t>
  </si>
  <si>
    <t>LEWIS</t>
  </si>
  <si>
    <t>LINCOLN</t>
  </si>
  <si>
    <t>LIVINGSTON</t>
  </si>
  <si>
    <t>LOGAN</t>
  </si>
  <si>
    <t>LYON</t>
  </si>
  <si>
    <t>MCCRACKEN</t>
  </si>
  <si>
    <t xml:space="preserve">MCCREARY </t>
  </si>
  <si>
    <t>MCLEAN</t>
  </si>
  <si>
    <t>MADISON</t>
  </si>
  <si>
    <t>MAGOFFIN</t>
  </si>
  <si>
    <t>MARION</t>
  </si>
  <si>
    <t>MARSHALL</t>
  </si>
  <si>
    <t>MARTIN</t>
  </si>
  <si>
    <t>MASON</t>
  </si>
  <si>
    <t>MEADE</t>
  </si>
  <si>
    <t>MENIFFE</t>
  </si>
  <si>
    <t>MERCER</t>
  </si>
  <si>
    <t>METCALFE</t>
  </si>
  <si>
    <t>MONROE</t>
  </si>
  <si>
    <t>MONTGOMERY</t>
  </si>
  <si>
    <t>MORGAN</t>
  </si>
  <si>
    <t>MUHLENBERG</t>
  </si>
  <si>
    <t>NELSON</t>
  </si>
  <si>
    <t>NICHOLAS</t>
  </si>
  <si>
    <t>OHIO</t>
  </si>
  <si>
    <t>OLDHAM</t>
  </si>
  <si>
    <t>OWEN</t>
  </si>
  <si>
    <t>OWSLEY</t>
  </si>
  <si>
    <t>PENDLETON</t>
  </si>
  <si>
    <t xml:space="preserve">PERRRY </t>
  </si>
  <si>
    <t>PIKE</t>
  </si>
  <si>
    <t>POWELL</t>
  </si>
  <si>
    <t>PULASKI</t>
  </si>
  <si>
    <t>ROBERTSON</t>
  </si>
  <si>
    <t>ROCKCASTLE</t>
  </si>
  <si>
    <t>ROWAN</t>
  </si>
  <si>
    <t>RUSSELL</t>
  </si>
  <si>
    <t>SCOTT</t>
  </si>
  <si>
    <t xml:space="preserve">SHELBY </t>
  </si>
  <si>
    <t>SIMPSON</t>
  </si>
  <si>
    <t>SPENCER</t>
  </si>
  <si>
    <t>TAYLOR</t>
  </si>
  <si>
    <t>TODD</t>
  </si>
  <si>
    <t>TRIGG</t>
  </si>
  <si>
    <t>TRIMBLE</t>
  </si>
  <si>
    <t>UNION</t>
  </si>
  <si>
    <t>WARREN</t>
  </si>
  <si>
    <t>WASHINGTON</t>
  </si>
  <si>
    <t>WAYNE</t>
  </si>
  <si>
    <t>WEBSTER</t>
  </si>
  <si>
    <t>WOLFE</t>
  </si>
  <si>
    <t xml:space="preserve">WOODFORD </t>
  </si>
  <si>
    <t>Fiscal Cost</t>
  </si>
  <si>
    <t>Clerk Fees</t>
  </si>
  <si>
    <t>Total-Pen/Int</t>
  </si>
  <si>
    <t>Library</t>
  </si>
  <si>
    <t>Health</t>
  </si>
  <si>
    <t>Extension</t>
  </si>
  <si>
    <t>Ambulance</t>
  </si>
  <si>
    <t xml:space="preserve">Fire </t>
  </si>
  <si>
    <t>Miscellaneous</t>
  </si>
  <si>
    <t>Soil conserv.</t>
  </si>
  <si>
    <t>Grand Total Collected</t>
  </si>
  <si>
    <t>Total Bills Sold</t>
  </si>
  <si>
    <t>Hospital</t>
  </si>
  <si>
    <t>Total all counties</t>
  </si>
  <si>
    <t>Date of sale</t>
  </si>
  <si>
    <t>Color Key</t>
  </si>
  <si>
    <r>
      <t>WHITLEY(</t>
    </r>
    <r>
      <rPr>
        <sz val="9"/>
        <color theme="1"/>
        <rFont val="Garamond"/>
        <family val="1"/>
      </rPr>
      <t>priority )</t>
    </r>
  </si>
  <si>
    <t>WHITLEY(tax sale)</t>
  </si>
  <si>
    <t xml:space="preserve">PERRY </t>
  </si>
  <si>
    <r>
      <t>HENDERSON(</t>
    </r>
    <r>
      <rPr>
        <sz val="8"/>
        <color theme="1"/>
        <rFont val="Garamond"/>
        <family val="1"/>
      </rPr>
      <t>priority</t>
    </r>
  </si>
  <si>
    <r>
      <t>HENDERSON</t>
    </r>
    <r>
      <rPr>
        <sz val="8"/>
        <color theme="1"/>
        <rFont val="Garamond"/>
        <family val="1"/>
      </rPr>
      <t>(tax sale)</t>
    </r>
  </si>
  <si>
    <t>13..56</t>
  </si>
  <si>
    <r>
      <t>MEADE(</t>
    </r>
    <r>
      <rPr>
        <b/>
        <sz val="9"/>
        <color theme="1"/>
        <rFont val="Garamond"/>
        <family val="1"/>
      </rPr>
      <t>PRIOR</t>
    </r>
    <r>
      <rPr>
        <sz val="11"/>
        <color theme="1"/>
        <rFont val="Garamond"/>
        <family val="1"/>
      </rPr>
      <t>)</t>
    </r>
  </si>
  <si>
    <r>
      <t>WHITLEY</t>
    </r>
    <r>
      <rPr>
        <b/>
        <sz val="11"/>
        <color theme="1"/>
        <rFont val="Garamond"/>
        <family val="1"/>
      </rPr>
      <t>(</t>
    </r>
    <r>
      <rPr>
        <b/>
        <sz val="9"/>
        <color theme="1"/>
        <rFont val="Garamond"/>
        <family val="1"/>
      </rPr>
      <t xml:space="preserve">priority </t>
    </r>
    <r>
      <rPr>
        <sz val="9"/>
        <color theme="1"/>
        <rFont val="Garamond"/>
        <family val="1"/>
      </rPr>
      <t>)</t>
    </r>
  </si>
  <si>
    <t>CALLOWAY(priorty)</t>
  </si>
  <si>
    <t>CALLOWAY(lottery)</t>
  </si>
  <si>
    <r>
      <t>KENTON(</t>
    </r>
    <r>
      <rPr>
        <sz val="9"/>
        <color theme="1"/>
        <rFont val="Garamond"/>
        <family val="1"/>
      </rPr>
      <t>PRIORITY</t>
    </r>
    <r>
      <rPr>
        <sz val="11"/>
        <color theme="1"/>
        <rFont val="Garamond"/>
        <family val="1"/>
      </rPr>
      <t>)</t>
    </r>
  </si>
  <si>
    <t>BOURBON(LOT.)</t>
  </si>
  <si>
    <t>BOURBON(PRIOR)</t>
  </si>
  <si>
    <t>?</t>
  </si>
  <si>
    <r>
      <t>BELL</t>
    </r>
    <r>
      <rPr>
        <sz val="9"/>
        <color theme="1"/>
        <rFont val="Garamond"/>
        <family val="1"/>
      </rPr>
      <t>(</t>
    </r>
    <r>
      <rPr>
        <sz val="8"/>
        <color theme="1"/>
        <rFont val="Garamond"/>
        <family val="1"/>
      </rPr>
      <t>ASSIGN. BILL</t>
    </r>
    <r>
      <rPr>
        <sz val="9"/>
        <color theme="1"/>
        <rFont val="Garamond"/>
        <family val="1"/>
      </rPr>
      <t>S)</t>
    </r>
  </si>
  <si>
    <t>CAMPBELL(prior)</t>
  </si>
  <si>
    <t>`</t>
  </si>
  <si>
    <t>JEFFERSON</t>
  </si>
  <si>
    <t>43543,72</t>
  </si>
  <si>
    <t>-</t>
  </si>
  <si>
    <t>156.03 dif</t>
  </si>
  <si>
    <t>HENDERSON-priority</t>
  </si>
  <si>
    <t>HENDERSON-lottery</t>
  </si>
  <si>
    <t>]</t>
  </si>
  <si>
    <t>WHITLEY (priorites)</t>
  </si>
  <si>
    <t>JOHNSON(priorties)</t>
  </si>
  <si>
    <t>+</t>
  </si>
  <si>
    <t>8/24/222</t>
  </si>
  <si>
    <t>0 Co. left to get reports</t>
  </si>
  <si>
    <t xml:space="preserve">261, 6688.34 </t>
  </si>
  <si>
    <t>not right figures in the report.</t>
  </si>
  <si>
    <t xml:space="preserve">  </t>
  </si>
  <si>
    <t>HART (PRIORITY)</t>
  </si>
  <si>
    <t xml:space="preserve"> </t>
  </si>
  <si>
    <t>need report</t>
  </si>
  <si>
    <t>Receipts From Third Party Purchasers - Tax Sales of 2016 Certificates of Delinquency</t>
  </si>
  <si>
    <t>County</t>
  </si>
  <si>
    <t>Number of Bills Purchased</t>
  </si>
  <si>
    <t>State</t>
  </si>
  <si>
    <t xml:space="preserve">County </t>
  </si>
  <si>
    <t xml:space="preserve">School </t>
  </si>
  <si>
    <t xml:space="preserve">Library </t>
  </si>
  <si>
    <t>Soil  Conserv</t>
  </si>
  <si>
    <t>Fire</t>
  </si>
  <si>
    <t>Total Tax Penalty &amp; Interest</t>
  </si>
  <si>
    <t>Co Atty Fees</t>
  </si>
  <si>
    <t>Co Clerk Fees</t>
  </si>
  <si>
    <t>Grand Total Received</t>
  </si>
  <si>
    <t>Adair</t>
  </si>
  <si>
    <t>Allen</t>
  </si>
  <si>
    <t>Anderson</t>
  </si>
  <si>
    <t>Ballard</t>
  </si>
  <si>
    <t>Barren</t>
  </si>
  <si>
    <t>Bath</t>
  </si>
  <si>
    <t>Bell</t>
  </si>
  <si>
    <t>Boone</t>
  </si>
  <si>
    <t>Bourbon</t>
  </si>
  <si>
    <t>Boyd</t>
  </si>
  <si>
    <t>Boyle</t>
  </si>
  <si>
    <t>Bracken</t>
  </si>
  <si>
    <t>Breathitt</t>
  </si>
  <si>
    <t>Breckinridge</t>
  </si>
  <si>
    <t>Bullitt</t>
  </si>
  <si>
    <t>Butler</t>
  </si>
  <si>
    <t>Caldwell</t>
  </si>
  <si>
    <t>Calloway</t>
  </si>
  <si>
    <t>Campbell</t>
  </si>
  <si>
    <t>Carlisle</t>
  </si>
  <si>
    <t>Carroll</t>
  </si>
  <si>
    <t>Carter</t>
  </si>
  <si>
    <t>Casey</t>
  </si>
  <si>
    <t>Christian</t>
  </si>
  <si>
    <t>Clark</t>
  </si>
  <si>
    <t>Clay</t>
  </si>
  <si>
    <t>Clinton</t>
  </si>
  <si>
    <t>Crittenden</t>
  </si>
  <si>
    <t>Cumberland</t>
  </si>
  <si>
    <t xml:space="preserve">Daviess </t>
  </si>
  <si>
    <t>Edmonson</t>
  </si>
  <si>
    <t>Elliott</t>
  </si>
  <si>
    <t>Estill</t>
  </si>
  <si>
    <t>Fayette</t>
  </si>
  <si>
    <t>Fleming</t>
  </si>
  <si>
    <t>Floyd</t>
  </si>
  <si>
    <t>Franklin</t>
  </si>
  <si>
    <t>Fulton</t>
  </si>
  <si>
    <t>Gallatin</t>
  </si>
  <si>
    <t>Garrard</t>
  </si>
  <si>
    <t>Grant</t>
  </si>
  <si>
    <t>Graves</t>
  </si>
  <si>
    <t>Grayson</t>
  </si>
  <si>
    <t>Green</t>
  </si>
  <si>
    <t>Greenup</t>
  </si>
  <si>
    <t>Hancock</t>
  </si>
  <si>
    <t>Hardin</t>
  </si>
  <si>
    <t>Harlan</t>
  </si>
  <si>
    <t>Harrison</t>
  </si>
  <si>
    <t>Hart</t>
  </si>
  <si>
    <t>Henderson</t>
  </si>
  <si>
    <t>Henry</t>
  </si>
  <si>
    <t>Hickman</t>
  </si>
  <si>
    <t>Hopkins</t>
  </si>
  <si>
    <t>Jackson</t>
  </si>
  <si>
    <t xml:space="preserve">Jefferson </t>
  </si>
  <si>
    <t>Jessamine</t>
  </si>
  <si>
    <t>Johnson</t>
  </si>
  <si>
    <t>Kenton</t>
  </si>
  <si>
    <t>Knott</t>
  </si>
  <si>
    <t>Knox</t>
  </si>
  <si>
    <t>Larue</t>
  </si>
  <si>
    <t>Laurel</t>
  </si>
  <si>
    <t>Lawrence</t>
  </si>
  <si>
    <t>Lee</t>
  </si>
  <si>
    <t>Leslie</t>
  </si>
  <si>
    <t>Letcher</t>
  </si>
  <si>
    <t>Lewis</t>
  </si>
  <si>
    <t>Lincoln</t>
  </si>
  <si>
    <t>Livingston</t>
  </si>
  <si>
    <t>Logan</t>
  </si>
  <si>
    <t>Lyon</t>
  </si>
  <si>
    <t>McCracken</t>
  </si>
  <si>
    <t>McCreary</t>
  </si>
  <si>
    <t>McLean</t>
  </si>
  <si>
    <t>Madison</t>
  </si>
  <si>
    <t>Magoffin</t>
  </si>
  <si>
    <t>Marion</t>
  </si>
  <si>
    <t>Marshall</t>
  </si>
  <si>
    <t>Martin</t>
  </si>
  <si>
    <t>Mason</t>
  </si>
  <si>
    <t>Meade</t>
  </si>
  <si>
    <t>Menifee</t>
  </si>
  <si>
    <t>Mercer</t>
  </si>
  <si>
    <t>Metcalfe</t>
  </si>
  <si>
    <t>Monroe</t>
  </si>
  <si>
    <t>Montgomery</t>
  </si>
  <si>
    <t>Morgan</t>
  </si>
  <si>
    <t>Muhlenberg</t>
  </si>
  <si>
    <t>Nelson</t>
  </si>
  <si>
    <t>Nicholas</t>
  </si>
  <si>
    <t>Ohio</t>
  </si>
  <si>
    <t>Oldham</t>
  </si>
  <si>
    <t>Owen</t>
  </si>
  <si>
    <t>Owsley</t>
  </si>
  <si>
    <t>Pendleton</t>
  </si>
  <si>
    <t>Perry</t>
  </si>
  <si>
    <t>Pike</t>
  </si>
  <si>
    <t>Powell</t>
  </si>
  <si>
    <t>Pulaski</t>
  </si>
  <si>
    <t>Robertson</t>
  </si>
  <si>
    <t>Rockcastle</t>
  </si>
  <si>
    <t>Rowan</t>
  </si>
  <si>
    <t>Russell</t>
  </si>
  <si>
    <t>Scott</t>
  </si>
  <si>
    <t>Shelby</t>
  </si>
  <si>
    <t>Simpson</t>
  </si>
  <si>
    <t>Spencer</t>
  </si>
  <si>
    <t>Taylor</t>
  </si>
  <si>
    <t>Todd</t>
  </si>
  <si>
    <t>Trigg</t>
  </si>
  <si>
    <t>Trimble</t>
  </si>
  <si>
    <t>Union</t>
  </si>
  <si>
    <t>Warren</t>
  </si>
  <si>
    <t>Washington</t>
  </si>
  <si>
    <t>Wayne</t>
  </si>
  <si>
    <t>Webster</t>
  </si>
  <si>
    <t>Whitley</t>
  </si>
  <si>
    <t>Wolfe</t>
  </si>
  <si>
    <t xml:space="preserve">Woodford </t>
  </si>
  <si>
    <t>Grand Totals</t>
  </si>
  <si>
    <t>Blank</t>
  </si>
  <si>
    <t>Oct. Sale Dates</t>
  </si>
  <si>
    <t>NOTE: County Totals will be updated as information is received from County Clerks.</t>
  </si>
  <si>
    <t>1st Request</t>
  </si>
  <si>
    <t>2nd Request</t>
  </si>
  <si>
    <t>The amounts shown as being distributed to each taxing district include the pro rata share of penalty and interest.</t>
  </si>
  <si>
    <t>3rd Request</t>
  </si>
  <si>
    <t xml:space="preserve">Please note that the totals shown in this spreadsheet represent a reasonable approximation of the total amount paid by third party purchasers at the tax sales held by the county clerks for the 2011 certificates of </t>
  </si>
  <si>
    <t xml:space="preserve">delinquency.  The county clerk collection report for the month in which the tax sale occurred was reviewed and every effort was made to identify which certifictes were actually acquired by third party purchasers.  </t>
  </si>
  <si>
    <t xml:space="preserve">However, in some circumstances, the amounts had to be estimated due to the format of the report  received.  Additionally, any certificate of delinquency acquired by a  third party purchaser in the months </t>
  </si>
  <si>
    <t xml:space="preserve">after the tax sale  occurred are not reflected in this spreadsheet.    </t>
  </si>
  <si>
    <t>9/20/238</t>
  </si>
  <si>
    <r>
      <t>8/9/2023</t>
    </r>
    <r>
      <rPr>
        <sz val="8"/>
        <color theme="1"/>
        <rFont val="Garamond"/>
        <family val="1"/>
      </rPr>
      <t>(Prior</t>
    </r>
    <r>
      <rPr>
        <sz val="12"/>
        <color theme="1"/>
        <rFont val="Garamond"/>
        <family val="1"/>
      </rPr>
      <t>)</t>
    </r>
  </si>
  <si>
    <t xml:space="preserve">   </t>
  </si>
  <si>
    <t>8578,01</t>
  </si>
  <si>
    <r>
      <rPr>
        <b/>
        <sz val="12"/>
        <color rgb="FFC10F86"/>
        <rFont val="Garamond"/>
        <family val="1"/>
      </rPr>
      <t>UPDATED</t>
    </r>
    <r>
      <rPr>
        <sz val="12"/>
        <color theme="1"/>
        <rFont val="Garamond"/>
        <family val="1"/>
      </rPr>
      <t>: 1-11-24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</si>
</sst>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_([$$-409]* #,##0.00_);_([$$-409]* \(#,##0.00\);_([$$-409]* &quot;-&quot;??_);_(@_)"/>
    <numFmt numFmtId="165" formatCode="[$$-409]#,##0.00_);\([$$-409]#,##0.00\)"/>
    <numFmt numFmtId="166" formatCode="_([$$-409]* #,##0.0_);_([$$-409]* \(#,##0.0\);_([$$-409]* &quot;-&quot;??_);_(@_)"/>
    <numFmt numFmtId="167" formatCode="&quot;$&quot;#,##0.00"/>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Garamond"/>
      <family val="1"/>
    </font>
    <font>
      <b/>
      <sz val="11"/>
      <color rgb="FFFF0000"/>
      <name val="Garamond"/>
      <family val="1"/>
    </font>
    <font>
      <sz val="11"/>
      <color theme="1"/>
      <name val="Garamond"/>
      <family val="1"/>
    </font>
    <font>
      <sz val="11"/>
      <color rgb="FFFF0000"/>
      <name val="Garamond"/>
      <family val="1"/>
    </font>
    <font>
      <b/>
      <sz val="10"/>
      <color rgb="FFFF0000"/>
      <name val="Garamond"/>
      <family val="1"/>
    </font>
    <font>
      <b/>
      <sz val="10"/>
      <color theme="1"/>
      <name val="Garamond"/>
      <family val="1"/>
    </font>
    <font>
      <sz val="10"/>
      <color theme="1"/>
      <name val="Garamond"/>
      <family val="1"/>
    </font>
    <font>
      <sz val="11"/>
      <name val="Garamond"/>
      <family val="1"/>
    </font>
    <font>
      <b/>
      <sz val="12"/>
      <color theme="1"/>
      <name val="Garamond"/>
      <family val="1"/>
    </font>
    <font>
      <sz val="12"/>
      <color theme="1"/>
      <name val="Garamond"/>
      <family val="1"/>
    </font>
    <font>
      <sz val="9"/>
      <color theme="1"/>
      <name val="Garamond"/>
      <family val="1"/>
    </font>
    <font>
      <sz val="9"/>
      <color indexed="81"/>
      <name val="Tahoma"/>
      <family val="2"/>
    </font>
    <font>
      <b/>
      <sz val="9"/>
      <color indexed="81"/>
      <name val="Tahoma"/>
      <family val="2"/>
    </font>
    <font>
      <sz val="8"/>
      <color theme="1"/>
      <name val="Garamond"/>
      <family val="1"/>
    </font>
    <font>
      <sz val="12"/>
      <name val="Garamond"/>
      <family val="1"/>
    </font>
    <font>
      <b/>
      <sz val="9"/>
      <color theme="1"/>
      <name val="Garamond"/>
      <family val="1"/>
    </font>
    <font>
      <b/>
      <sz val="11"/>
      <color rgb="FF00B050"/>
      <name val="Garamond"/>
      <family val="1"/>
    </font>
    <font>
      <b/>
      <sz val="12"/>
      <color rgb="FFFF0000"/>
      <name val="Garamond"/>
      <family val="1"/>
    </font>
    <font>
      <b/>
      <u/>
      <sz val="12"/>
      <color theme="1"/>
      <name val="Garamond"/>
      <family val="1"/>
    </font>
    <font>
      <b/>
      <u/>
      <sz val="12"/>
      <color rgb="FF002060"/>
      <name val="Garamond"/>
      <family val="1"/>
    </font>
    <font>
      <b/>
      <u/>
      <sz val="12"/>
      <color theme="5" tint="-0.249977111117893"/>
      <name val="Garamond"/>
      <family val="1"/>
    </font>
    <font>
      <b/>
      <u/>
      <sz val="12"/>
      <color rgb="FFFF0000"/>
      <name val="Garamond"/>
      <family val="1"/>
    </font>
    <font>
      <sz val="12"/>
      <color theme="5" tint="-0.249977111117893"/>
      <name val="Garamond"/>
      <family val="1"/>
    </font>
    <font>
      <b/>
      <sz val="12"/>
      <color rgb="FF00B050"/>
      <name val="Garamond"/>
      <family val="1"/>
    </font>
    <font>
      <sz val="12"/>
      <color rgb="FFFF0000"/>
      <name val="Garamond"/>
      <family val="1"/>
    </font>
    <font>
      <b/>
      <sz val="18"/>
      <color theme="1"/>
      <name val="Arial"/>
      <family val="2"/>
    </font>
    <font>
      <b/>
      <sz val="10"/>
      <color theme="1"/>
      <name val="Arial"/>
      <family val="2"/>
    </font>
    <font>
      <b/>
      <sz val="10"/>
      <name val="Arial"/>
      <family val="2"/>
    </font>
    <font>
      <sz val="11"/>
      <color theme="1"/>
      <name val="Calibri"/>
      <family val="2"/>
    </font>
    <font>
      <sz val="11"/>
      <name val="Calibri"/>
      <family val="2"/>
      <scheme val="minor"/>
    </font>
    <font>
      <b/>
      <sz val="11"/>
      <color theme="1"/>
      <name val="Arial"/>
      <family val="2"/>
    </font>
    <font>
      <sz val="11"/>
      <color theme="1"/>
      <name val="Arial"/>
      <family val="2"/>
    </font>
    <font>
      <b/>
      <sz val="12"/>
      <color rgb="FFC10F86"/>
      <name val="Garamond"/>
      <family val="1"/>
    </font>
  </fonts>
  <fills count="14">
    <fill>
      <patternFill patternType="none"/>
    </fill>
    <fill>
      <patternFill patternType="gray125"/>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8"/>
        <bgColor indexed="64"/>
      </patternFill>
    </fill>
    <fill>
      <patternFill patternType="solid">
        <fgColor theme="4" tint="-0.249977111117893"/>
        <bgColor indexed="64"/>
      </patternFill>
    </fill>
    <fill>
      <patternFill patternType="solid">
        <fgColor rgb="FF92D050"/>
        <bgColor indexed="64"/>
      </patternFill>
    </fill>
    <fill>
      <patternFill patternType="solid">
        <fgColor rgb="FF7030A0"/>
        <bgColor indexed="64"/>
      </patternFill>
    </fill>
    <fill>
      <patternFill patternType="solid">
        <fgColor rgb="FF874983"/>
        <bgColor indexed="64"/>
      </patternFill>
    </fill>
    <fill>
      <patternFill patternType="solid">
        <fgColor theme="5" tint="0.39997558519241921"/>
        <bgColor indexed="64"/>
      </patternFill>
    </fill>
    <fill>
      <patternFill patternType="solid">
        <fgColor rgb="FFC7A1E3"/>
        <bgColor indexed="64"/>
      </patternFill>
    </fill>
    <fill>
      <patternFill patternType="solid">
        <fgColor rgb="FF00B0F0"/>
        <bgColor indexed="64"/>
      </patternFill>
    </fill>
    <fill>
      <patternFill patternType="solid">
        <fgColor theme="1"/>
        <bgColor indexed="64"/>
      </patternFill>
    </fill>
  </fills>
  <borders count="4">
    <border>
      <left/>
      <right/>
      <top/>
      <bottom/>
      <diagonal/>
    </border>
    <border>
      <left/>
      <right style="thin">
        <color auto="1"/>
      </right>
      <top/>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56">
    <xf numFmtId="0" fontId="0" fillId="0" borderId="0" xfId="0"/>
    <xf numFmtId="0" fontId="2" fillId="0" borderId="0" xfId="0" applyFont="1"/>
    <xf numFmtId="0" fontId="5" fillId="0" borderId="0" xfId="0" applyFont="1"/>
    <xf numFmtId="0" fontId="4" fillId="0" borderId="0" xfId="0" applyFont="1"/>
    <xf numFmtId="7" fontId="4" fillId="0" borderId="0" xfId="0" applyNumberFormat="1" applyFont="1"/>
    <xf numFmtId="0" fontId="4" fillId="0" borderId="0" xfId="0" applyFont="1" applyAlignment="1">
      <alignment horizontal="center"/>
    </xf>
    <xf numFmtId="0" fontId="5" fillId="0" borderId="0" xfId="0" applyFont="1" applyAlignment="1">
      <alignment horizontal="center"/>
    </xf>
    <xf numFmtId="164" fontId="5" fillId="0" borderId="0" xfId="1" applyNumberFormat="1" applyFont="1" applyAlignment="1">
      <alignment horizontal="center"/>
    </xf>
    <xf numFmtId="164" fontId="5" fillId="0" borderId="0" xfId="0" applyNumberFormat="1" applyFont="1" applyAlignment="1">
      <alignment horizontal="center"/>
    </xf>
    <xf numFmtId="164" fontId="4" fillId="0" borderId="0" xfId="0" applyNumberFormat="1" applyFont="1" applyAlignment="1">
      <alignment horizontal="center"/>
    </xf>
    <xf numFmtId="0" fontId="6" fillId="0" borderId="0" xfId="0" applyFont="1"/>
    <xf numFmtId="0" fontId="5" fillId="0" borderId="1" xfId="0" applyFont="1" applyBorder="1" applyAlignment="1">
      <alignment horizontal="center"/>
    </xf>
    <xf numFmtId="0" fontId="5" fillId="0" borderId="1" xfId="0" applyFont="1" applyBorder="1"/>
    <xf numFmtId="0" fontId="7" fillId="0" borderId="0" xfId="0" applyFont="1" applyAlignment="1">
      <alignment horizontal="center"/>
    </xf>
    <xf numFmtId="0" fontId="8" fillId="0" borderId="1" xfId="0" applyFont="1" applyBorder="1" applyAlignment="1">
      <alignment horizontal="center"/>
    </xf>
    <xf numFmtId="0" fontId="8" fillId="0" borderId="0" xfId="0" applyFont="1" applyAlignment="1">
      <alignment horizontal="center"/>
    </xf>
    <xf numFmtId="0" fontId="9" fillId="0" borderId="0" xfId="0" applyFont="1" applyAlignment="1">
      <alignment horizontal="center"/>
    </xf>
    <xf numFmtId="14" fontId="5" fillId="0" borderId="0" xfId="0" applyNumberFormat="1" applyFont="1" applyAlignment="1">
      <alignment horizontal="center"/>
    </xf>
    <xf numFmtId="39" fontId="5" fillId="0" borderId="0" xfId="1" applyNumberFormat="1" applyFont="1" applyFill="1" applyAlignment="1">
      <alignment horizontal="center"/>
    </xf>
    <xf numFmtId="164" fontId="5" fillId="0" borderId="0" xfId="1" applyNumberFormat="1" applyFont="1" applyFill="1" applyAlignment="1">
      <alignment horizontal="center"/>
    </xf>
    <xf numFmtId="165" fontId="5" fillId="0" borderId="0" xfId="1" applyNumberFormat="1" applyFont="1" applyFill="1" applyAlignment="1">
      <alignment horizontal="center"/>
    </xf>
    <xf numFmtId="0" fontId="3" fillId="0" borderId="1" xfId="0" applyFont="1" applyBorder="1"/>
    <xf numFmtId="0" fontId="4" fillId="0" borderId="1" xfId="0" applyFont="1" applyBorder="1"/>
    <xf numFmtId="0" fontId="10" fillId="0" borderId="1" xfId="0" applyFont="1" applyBorder="1" applyAlignment="1">
      <alignment horizontal="center"/>
    </xf>
    <xf numFmtId="14" fontId="10" fillId="0" borderId="0" xfId="0" applyNumberFormat="1" applyFont="1" applyAlignment="1">
      <alignment horizontal="center"/>
    </xf>
    <xf numFmtId="164" fontId="10" fillId="0" borderId="0" xfId="1" applyNumberFormat="1" applyFont="1" applyFill="1" applyAlignment="1">
      <alignment horizontal="center"/>
    </xf>
    <xf numFmtId="164" fontId="10" fillId="0" borderId="0" xfId="0" applyNumberFormat="1" applyFont="1" applyAlignment="1">
      <alignment horizontal="center"/>
    </xf>
    <xf numFmtId="0" fontId="10" fillId="0" borderId="0" xfId="0" applyFont="1" applyAlignment="1">
      <alignment horizontal="center"/>
    </xf>
    <xf numFmtId="0" fontId="12" fillId="0" borderId="0" xfId="0" applyFont="1" applyAlignment="1">
      <alignment horizontal="center"/>
    </xf>
    <xf numFmtId="0" fontId="5" fillId="5" borderId="0" xfId="0" applyFont="1" applyFill="1" applyAlignment="1">
      <alignment horizontal="center"/>
    </xf>
    <xf numFmtId="0" fontId="5" fillId="6" borderId="0" xfId="0" applyFont="1" applyFill="1" applyAlignment="1">
      <alignment horizontal="center"/>
    </xf>
    <xf numFmtId="0" fontId="12" fillId="0" borderId="1" xfId="0" applyFont="1" applyBorder="1" applyAlignment="1">
      <alignment horizontal="center"/>
    </xf>
    <xf numFmtId="0" fontId="4" fillId="0" borderId="0" xfId="0" applyFont="1" applyAlignment="1">
      <alignment horizontal="right"/>
    </xf>
    <xf numFmtId="164" fontId="5" fillId="0" borderId="0" xfId="0" applyNumberFormat="1" applyFont="1"/>
    <xf numFmtId="164" fontId="4" fillId="0" borderId="0" xfId="0" applyNumberFormat="1" applyFont="1"/>
    <xf numFmtId="0" fontId="5" fillId="3" borderId="0" xfId="0" applyFont="1" applyFill="1" applyAlignment="1">
      <alignment horizontal="center"/>
    </xf>
    <xf numFmtId="166" fontId="5" fillId="0" borderId="0" xfId="1" applyNumberFormat="1" applyFont="1" applyFill="1" applyAlignment="1">
      <alignment horizontal="center"/>
    </xf>
    <xf numFmtId="164" fontId="4" fillId="0" borderId="0" xfId="0" applyNumberFormat="1" applyFont="1" applyAlignment="1">
      <alignment horizontal="right"/>
    </xf>
    <xf numFmtId="0" fontId="5" fillId="2" borderId="1" xfId="0" applyFont="1" applyFill="1" applyBorder="1" applyAlignment="1">
      <alignment horizontal="center"/>
    </xf>
    <xf numFmtId="0" fontId="12" fillId="2" borderId="1" xfId="0" applyFont="1" applyFill="1" applyBorder="1" applyAlignment="1">
      <alignment horizontal="center"/>
    </xf>
    <xf numFmtId="0" fontId="5" fillId="7" borderId="0" xfId="0" applyFont="1" applyFill="1" applyAlignment="1">
      <alignment horizontal="center"/>
    </xf>
    <xf numFmtId="14" fontId="5" fillId="2" borderId="0" xfId="0" applyNumberFormat="1" applyFont="1" applyFill="1" applyAlignment="1">
      <alignment horizontal="center"/>
    </xf>
    <xf numFmtId="0" fontId="4" fillId="2" borderId="0" xfId="0" applyFont="1" applyFill="1" applyAlignment="1">
      <alignment horizontal="center"/>
    </xf>
    <xf numFmtId="164" fontId="5" fillId="2" borderId="0" xfId="1" applyNumberFormat="1" applyFont="1" applyFill="1" applyAlignment="1">
      <alignment horizontal="center"/>
    </xf>
    <xf numFmtId="164" fontId="5" fillId="2" borderId="0" xfId="0" applyNumberFormat="1" applyFont="1" applyFill="1" applyAlignment="1">
      <alignment horizontal="center"/>
    </xf>
    <xf numFmtId="164" fontId="4" fillId="2" borderId="0" xfId="0" applyNumberFormat="1" applyFont="1" applyFill="1" applyAlignment="1">
      <alignment horizontal="center"/>
    </xf>
    <xf numFmtId="0" fontId="5" fillId="2" borderId="0" xfId="0" applyFont="1" applyFill="1" applyAlignment="1">
      <alignment horizontal="center"/>
    </xf>
    <xf numFmtId="0" fontId="6" fillId="0" borderId="0" xfId="0" applyFont="1" applyAlignment="1">
      <alignment horizontal="center"/>
    </xf>
    <xf numFmtId="44" fontId="5" fillId="0" borderId="0" xfId="1" applyFont="1" applyFill="1" applyAlignment="1">
      <alignment horizontal="center"/>
    </xf>
    <xf numFmtId="44" fontId="4" fillId="0" borderId="0" xfId="1" applyFont="1" applyFill="1" applyAlignment="1">
      <alignment horizontal="center"/>
    </xf>
    <xf numFmtId="44" fontId="10" fillId="0" borderId="0" xfId="1" applyFont="1" applyFill="1" applyAlignment="1">
      <alignment horizontal="center"/>
    </xf>
    <xf numFmtId="0" fontId="21" fillId="0" borderId="1" xfId="0" applyFont="1" applyBorder="1" applyAlignment="1">
      <alignment horizontal="center"/>
    </xf>
    <xf numFmtId="0" fontId="21" fillId="0" borderId="0" xfId="0" applyFont="1" applyAlignment="1">
      <alignment horizontal="center"/>
    </xf>
    <xf numFmtId="0" fontId="22" fillId="4" borderId="0" xfId="0" applyFont="1" applyFill="1" applyAlignment="1">
      <alignment horizontal="center"/>
    </xf>
    <xf numFmtId="0" fontId="23" fillId="0" borderId="0" xfId="0" applyFont="1" applyAlignment="1">
      <alignment horizontal="center"/>
    </xf>
    <xf numFmtId="0" fontId="24" fillId="0" borderId="0" xfId="0" applyFont="1" applyAlignment="1">
      <alignment horizontal="center"/>
    </xf>
    <xf numFmtId="0" fontId="12" fillId="9" borderId="0" xfId="0" applyFont="1" applyFill="1" applyAlignment="1">
      <alignment horizontal="center"/>
    </xf>
    <xf numFmtId="14" fontId="12" fillId="0" borderId="0" xfId="0" applyNumberFormat="1" applyFont="1" applyAlignment="1">
      <alignment horizontal="center"/>
    </xf>
    <xf numFmtId="0" fontId="20" fillId="0" borderId="0" xfId="0" applyFont="1" applyAlignment="1">
      <alignment horizontal="center"/>
    </xf>
    <xf numFmtId="164" fontId="12" fillId="0" borderId="0" xfId="1" applyNumberFormat="1" applyFont="1" applyFill="1" applyAlignment="1">
      <alignment horizontal="center"/>
    </xf>
    <xf numFmtId="164" fontId="12" fillId="0" borderId="0" xfId="0" applyNumberFormat="1" applyFont="1" applyAlignment="1">
      <alignment horizontal="center"/>
    </xf>
    <xf numFmtId="164" fontId="20" fillId="0" borderId="0" xfId="0" applyNumberFormat="1" applyFont="1" applyAlignment="1">
      <alignment horizontal="center"/>
    </xf>
    <xf numFmtId="0" fontId="26" fillId="0" borderId="0" xfId="0" applyFont="1" applyAlignment="1">
      <alignment horizontal="center"/>
    </xf>
    <xf numFmtId="0" fontId="17" fillId="0" borderId="0" xfId="0" applyFont="1" applyAlignment="1">
      <alignment horizontal="center"/>
    </xf>
    <xf numFmtId="0" fontId="17" fillId="9" borderId="0" xfId="0" applyFont="1" applyFill="1" applyAlignment="1">
      <alignment horizontal="center"/>
    </xf>
    <xf numFmtId="0" fontId="12" fillId="11" borderId="0" xfId="0" applyFont="1" applyFill="1" applyAlignment="1">
      <alignment horizontal="center"/>
    </xf>
    <xf numFmtId="0" fontId="12" fillId="10" borderId="0" xfId="0" applyFont="1" applyFill="1" applyAlignment="1">
      <alignment horizontal="center"/>
    </xf>
    <xf numFmtId="0" fontId="12" fillId="3" borderId="0" xfId="0" applyFont="1" applyFill="1" applyAlignment="1">
      <alignment horizontal="center"/>
    </xf>
    <xf numFmtId="39" fontId="12" fillId="0" borderId="0" xfId="1" applyNumberFormat="1" applyFont="1" applyFill="1" applyAlignment="1">
      <alignment horizontal="center"/>
    </xf>
    <xf numFmtId="165" fontId="12" fillId="0" borderId="0" xfId="1" applyNumberFormat="1" applyFont="1" applyFill="1" applyAlignment="1">
      <alignment horizontal="center"/>
    </xf>
    <xf numFmtId="44" fontId="12" fillId="0" borderId="0" xfId="1" applyFont="1" applyFill="1" applyAlignment="1">
      <alignment horizontal="center"/>
    </xf>
    <xf numFmtId="44" fontId="20" fillId="0" borderId="0" xfId="1" applyFont="1" applyFill="1" applyAlignment="1">
      <alignment horizontal="center"/>
    </xf>
    <xf numFmtId="44" fontId="17" fillId="0" borderId="0" xfId="1" applyFont="1" applyFill="1" applyAlignment="1">
      <alignment horizontal="center"/>
    </xf>
    <xf numFmtId="0" fontId="11" fillId="0" borderId="1" xfId="0" applyFont="1" applyBorder="1" applyAlignment="1">
      <alignment horizontal="center"/>
    </xf>
    <xf numFmtId="0" fontId="27" fillId="0" borderId="0" xfId="0" applyFont="1" applyAlignment="1">
      <alignment horizontal="center"/>
    </xf>
    <xf numFmtId="0" fontId="20" fillId="0" borderId="1" xfId="0" applyFont="1" applyBorder="1" applyAlignment="1">
      <alignment horizontal="center"/>
    </xf>
    <xf numFmtId="0" fontId="27" fillId="9" borderId="0" xfId="0" applyFont="1" applyFill="1" applyAlignment="1">
      <alignment horizontal="center"/>
    </xf>
    <xf numFmtId="0" fontId="17" fillId="0" borderId="1" xfId="0" applyFont="1" applyBorder="1" applyAlignment="1">
      <alignment horizontal="center"/>
    </xf>
    <xf numFmtId="164" fontId="25" fillId="0" borderId="0" xfId="1" applyNumberFormat="1" applyFont="1" applyFill="1" applyAlignment="1">
      <alignment horizontal="center"/>
    </xf>
    <xf numFmtId="166" fontId="12" fillId="0" borderId="0" xfId="1" applyNumberFormat="1" applyFont="1" applyFill="1" applyAlignment="1">
      <alignment horizontal="center"/>
    </xf>
    <xf numFmtId="14" fontId="17" fillId="0" borderId="0" xfId="0" applyNumberFormat="1" applyFont="1" applyAlignment="1">
      <alignment horizontal="center"/>
    </xf>
    <xf numFmtId="164" fontId="17" fillId="0" borderId="0" xfId="1" applyNumberFormat="1" applyFont="1" applyFill="1" applyAlignment="1">
      <alignment horizontal="center"/>
    </xf>
    <xf numFmtId="164" fontId="17" fillId="0" borderId="0" xfId="0" applyNumberFormat="1" applyFont="1" applyAlignment="1">
      <alignment horizontal="center"/>
    </xf>
    <xf numFmtId="44" fontId="20" fillId="0" borderId="0" xfId="0" applyNumberFormat="1" applyFont="1" applyAlignment="1">
      <alignment horizontal="center"/>
    </xf>
    <xf numFmtId="0" fontId="29" fillId="0" borderId="2" xfId="0" applyFont="1" applyBorder="1"/>
    <xf numFmtId="0" fontId="29" fillId="0" borderId="2" xfId="0" applyFont="1" applyBorder="1" applyAlignment="1">
      <alignment horizontal="center" wrapText="1"/>
    </xf>
    <xf numFmtId="44" fontId="29" fillId="0" borderId="2" xfId="0" applyNumberFormat="1" applyFont="1" applyBorder="1" applyAlignment="1">
      <alignment horizontal="center"/>
    </xf>
    <xf numFmtId="0" fontId="29" fillId="0" borderId="2" xfId="0" applyFont="1" applyBorder="1" applyAlignment="1">
      <alignment horizontal="center"/>
    </xf>
    <xf numFmtId="44" fontId="29" fillId="0" borderId="2" xfId="0" applyNumberFormat="1" applyFont="1" applyBorder="1" applyAlignment="1">
      <alignment horizontal="center" wrapText="1"/>
    </xf>
    <xf numFmtId="0" fontId="29" fillId="0" borderId="0" xfId="0" applyFont="1"/>
    <xf numFmtId="0" fontId="0" fillId="0" borderId="0" xfId="0" applyAlignment="1">
      <alignment horizontal="center"/>
    </xf>
    <xf numFmtId="167" fontId="0" fillId="0" borderId="0" xfId="0" applyNumberFormat="1"/>
    <xf numFmtId="0" fontId="30" fillId="0" borderId="0" xfId="0" applyFont="1"/>
    <xf numFmtId="0" fontId="29" fillId="0" borderId="0" xfId="0" applyFont="1" applyAlignment="1">
      <alignment wrapText="1"/>
    </xf>
    <xf numFmtId="43" fontId="31" fillId="0" borderId="0" xfId="2" applyFont="1" applyFill="1" applyBorder="1" applyAlignment="1" applyProtection="1"/>
    <xf numFmtId="2" fontId="31" fillId="0" borderId="0" xfId="0" applyNumberFormat="1" applyFont="1"/>
    <xf numFmtId="167" fontId="32" fillId="0" borderId="0" xfId="0" applyNumberFormat="1" applyFont="1"/>
    <xf numFmtId="167" fontId="0" fillId="0" borderId="0" xfId="2" applyNumberFormat="1" applyFont="1"/>
    <xf numFmtId="2" fontId="0" fillId="0" borderId="0" xfId="0" applyNumberFormat="1"/>
    <xf numFmtId="43" fontId="0" fillId="0" borderId="0" xfId="2" applyFont="1"/>
    <xf numFmtId="0" fontId="29" fillId="3" borderId="0" xfId="0" applyFont="1" applyFill="1"/>
    <xf numFmtId="0" fontId="0" fillId="3" borderId="0" xfId="0" applyFill="1" applyAlignment="1">
      <alignment horizontal="center"/>
    </xf>
    <xf numFmtId="167" fontId="0" fillId="3" borderId="0" xfId="0" applyNumberFormat="1" applyFill="1"/>
    <xf numFmtId="0" fontId="0" fillId="0" borderId="2" xfId="0" applyBorder="1" applyAlignment="1">
      <alignment horizontal="center"/>
    </xf>
    <xf numFmtId="167" fontId="0" fillId="0" borderId="2" xfId="0" applyNumberFormat="1" applyBorder="1"/>
    <xf numFmtId="0" fontId="29" fillId="0" borderId="3" xfId="0" applyFont="1" applyBorder="1"/>
    <xf numFmtId="3" fontId="29" fillId="0" borderId="3" xfId="2" applyNumberFormat="1" applyFont="1" applyBorder="1" applyAlignment="1">
      <alignment horizontal="center" vertical="center"/>
    </xf>
    <xf numFmtId="44" fontId="29" fillId="0" borderId="3" xfId="1" applyFont="1" applyBorder="1"/>
    <xf numFmtId="0" fontId="33" fillId="0" borderId="0" xfId="0" applyFont="1"/>
    <xf numFmtId="0" fontId="33" fillId="0" borderId="0" xfId="0" applyFont="1" applyAlignment="1">
      <alignment horizontal="left"/>
    </xf>
    <xf numFmtId="0" fontId="33" fillId="8" borderId="0" xfId="0" applyFont="1" applyFill="1"/>
    <xf numFmtId="0" fontId="34" fillId="0" borderId="0" xfId="0" applyFont="1" applyAlignment="1">
      <alignment horizontal="center"/>
    </xf>
    <xf numFmtId="0" fontId="34" fillId="0" borderId="0" xfId="0" applyFont="1"/>
    <xf numFmtId="0" fontId="34" fillId="12" borderId="0" xfId="0" applyFont="1" applyFill="1"/>
    <xf numFmtId="0" fontId="34" fillId="4" borderId="0" xfId="0" applyFont="1" applyFill="1"/>
    <xf numFmtId="0" fontId="33" fillId="0" borderId="0" xfId="0" applyFont="1" applyAlignment="1">
      <alignment horizontal="center"/>
    </xf>
    <xf numFmtId="0" fontId="34" fillId="0" borderId="0" xfId="0" applyFont="1" applyAlignment="1">
      <alignment horizontal="left"/>
    </xf>
    <xf numFmtId="0" fontId="34" fillId="0" borderId="0" xfId="0" applyFont="1" applyAlignment="1">
      <alignment wrapText="1"/>
    </xf>
    <xf numFmtId="14" fontId="2" fillId="0" borderId="0" xfId="0" applyNumberFormat="1" applyFont="1" applyAlignment="1">
      <alignment horizontal="left"/>
    </xf>
    <xf numFmtId="164" fontId="12" fillId="0" borderId="0" xfId="1" applyNumberFormat="1" applyFont="1" applyFill="1" applyAlignment="1"/>
    <xf numFmtId="44" fontId="17" fillId="0" borderId="0" xfId="1" applyFont="1" applyAlignment="1"/>
    <xf numFmtId="0" fontId="28" fillId="0" borderId="0" xfId="0" applyFont="1" applyAlignment="1">
      <alignment horizontal="center"/>
    </xf>
    <xf numFmtId="0" fontId="8" fillId="0" borderId="1" xfId="0" applyFont="1" applyFill="1" applyBorder="1" applyAlignment="1">
      <alignment horizontal="center"/>
    </xf>
    <xf numFmtId="0" fontId="8" fillId="0" borderId="0" xfId="0" applyFont="1" applyFill="1" applyAlignment="1">
      <alignment horizontal="center"/>
    </xf>
    <xf numFmtId="0" fontId="7" fillId="0" borderId="0" xfId="0" applyFont="1" applyFill="1" applyAlignment="1">
      <alignment horizontal="center"/>
    </xf>
    <xf numFmtId="0" fontId="9" fillId="0" borderId="0" xfId="0" applyFont="1" applyFill="1" applyAlignment="1">
      <alignment horizontal="center"/>
    </xf>
    <xf numFmtId="0" fontId="5" fillId="0" borderId="1" xfId="0" applyFont="1" applyFill="1" applyBorder="1" applyAlignment="1">
      <alignment horizontal="center"/>
    </xf>
    <xf numFmtId="14" fontId="5" fillId="0" borderId="0" xfId="0" applyNumberFormat="1" applyFont="1" applyFill="1" applyAlignment="1">
      <alignment horizontal="center"/>
    </xf>
    <xf numFmtId="0" fontId="4" fillId="0" borderId="0" xfId="0" applyFont="1" applyFill="1" applyAlignment="1">
      <alignment horizontal="center"/>
    </xf>
    <xf numFmtId="164" fontId="5" fillId="0" borderId="0" xfId="0" applyNumberFormat="1" applyFont="1" applyFill="1" applyAlignment="1">
      <alignment horizontal="center"/>
    </xf>
    <xf numFmtId="164" fontId="4" fillId="0" borderId="0" xfId="0" applyNumberFormat="1" applyFont="1" applyFill="1" applyAlignment="1">
      <alignment horizontal="center"/>
    </xf>
    <xf numFmtId="0" fontId="5" fillId="0" borderId="0" xfId="0" applyFont="1" applyFill="1" applyAlignment="1">
      <alignment horizontal="center"/>
    </xf>
    <xf numFmtId="164" fontId="4" fillId="0" borderId="0" xfId="0" applyNumberFormat="1" applyFont="1" applyFill="1" applyAlignment="1">
      <alignment horizontal="right"/>
    </xf>
    <xf numFmtId="0" fontId="19" fillId="0" borderId="0" xfId="0" applyFont="1" applyFill="1" applyAlignment="1">
      <alignment horizontal="center"/>
    </xf>
    <xf numFmtId="0" fontId="10" fillId="0" borderId="1" xfId="0" applyFont="1" applyFill="1" applyBorder="1" applyAlignment="1">
      <alignment horizontal="center"/>
    </xf>
    <xf numFmtId="14" fontId="10" fillId="0" borderId="0" xfId="0" applyNumberFormat="1" applyFont="1" applyFill="1" applyAlignment="1">
      <alignment horizontal="center"/>
    </xf>
    <xf numFmtId="164" fontId="10" fillId="0" borderId="0" xfId="0" applyNumberFormat="1" applyFont="1" applyFill="1" applyAlignment="1">
      <alignment horizontal="center"/>
    </xf>
    <xf numFmtId="0" fontId="10" fillId="0" borderId="0" xfId="0" applyFont="1" applyFill="1" applyAlignment="1">
      <alignment horizontal="center"/>
    </xf>
    <xf numFmtId="0" fontId="12" fillId="0" borderId="1" xfId="0" applyFont="1" applyFill="1" applyBorder="1" applyAlignment="1">
      <alignment horizontal="center"/>
    </xf>
    <xf numFmtId="44" fontId="4" fillId="0" borderId="0" xfId="0" applyNumberFormat="1" applyFont="1" applyFill="1" applyAlignment="1">
      <alignment horizontal="center"/>
    </xf>
    <xf numFmtId="0" fontId="3" fillId="0" borderId="1" xfId="0" applyFont="1" applyFill="1" applyBorder="1"/>
    <xf numFmtId="0" fontId="5" fillId="0" borderId="0" xfId="0" applyFont="1" applyFill="1"/>
    <xf numFmtId="0" fontId="6" fillId="0" borderId="0" xfId="0" applyFont="1" applyFill="1"/>
    <xf numFmtId="0" fontId="4" fillId="0" borderId="0" xfId="0" applyFont="1" applyFill="1"/>
    <xf numFmtId="0" fontId="4" fillId="0" borderId="1" xfId="0" applyFont="1" applyFill="1" applyBorder="1"/>
    <xf numFmtId="164" fontId="5" fillId="0" borderId="0" xfId="0" applyNumberFormat="1" applyFont="1" applyFill="1"/>
    <xf numFmtId="164" fontId="4" fillId="0" borderId="0" xfId="0" applyNumberFormat="1" applyFont="1" applyFill="1"/>
    <xf numFmtId="0" fontId="5" fillId="0" borderId="1" xfId="0" applyFont="1" applyFill="1" applyBorder="1"/>
    <xf numFmtId="0" fontId="7" fillId="0" borderId="0" xfId="0" applyFont="1" applyFill="1" applyAlignment="1">
      <alignment horizontal="center" wrapText="1"/>
    </xf>
    <xf numFmtId="44" fontId="12" fillId="0" borderId="0" xfId="1" applyFont="1" applyAlignment="1">
      <alignment horizontal="center"/>
    </xf>
    <xf numFmtId="44" fontId="20" fillId="0" borderId="0" xfId="1" applyFont="1" applyAlignment="1">
      <alignment horizontal="center"/>
    </xf>
    <xf numFmtId="0" fontId="20" fillId="13" borderId="1" xfId="0" applyFont="1" applyFill="1" applyBorder="1" applyAlignment="1">
      <alignment horizontal="center"/>
    </xf>
    <xf numFmtId="0" fontId="20" fillId="13" borderId="0" xfId="0" applyFont="1" applyFill="1" applyAlignment="1">
      <alignment horizontal="center"/>
    </xf>
    <xf numFmtId="164" fontId="12" fillId="13" borderId="0" xfId="1" applyNumberFormat="1" applyFont="1" applyFill="1" applyAlignment="1">
      <alignment horizontal="center"/>
    </xf>
    <xf numFmtId="164" fontId="12" fillId="13" borderId="0" xfId="0" applyNumberFormat="1" applyFont="1" applyFill="1" applyAlignment="1">
      <alignment horizontal="center"/>
    </xf>
    <xf numFmtId="164" fontId="20" fillId="13" borderId="0" xfId="0" applyNumberFormat="1" applyFont="1" applyFill="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colors>
    <mruColors>
      <color rgb="FF874983"/>
      <color rgb="FFC7A1E3"/>
      <color rgb="FFC50BA2"/>
      <color rgb="FFC10F86"/>
      <color rgb="FF1AB6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1D268-5A7B-457D-B0F7-41D5236ED18A}">
  <dimension ref="A1:T138"/>
  <sheetViews>
    <sheetView topLeftCell="A2" workbookViewId="0">
      <selection activeCell="A3" sqref="A3"/>
    </sheetView>
  </sheetViews>
  <sheetFormatPr defaultColWidth="9.140625" defaultRowHeight="15" x14ac:dyDescent="0.25"/>
  <cols>
    <col min="1" max="1" width="13.7109375" customWidth="1"/>
    <col min="2" max="2" width="12.5703125" style="90" customWidth="1"/>
    <col min="3" max="3" width="14.28515625" customWidth="1"/>
    <col min="4" max="4" width="13.5703125" customWidth="1"/>
    <col min="5" max="5" width="13.7109375" customWidth="1"/>
    <col min="6" max="6" width="12.28515625" bestFit="1" customWidth="1"/>
    <col min="7" max="7" width="12" customWidth="1"/>
    <col min="8" max="8" width="12.42578125" customWidth="1"/>
    <col min="9" max="9" width="14" customWidth="1"/>
    <col min="10" max="10" width="14.7109375" customWidth="1"/>
    <col min="11" max="11" width="12.140625" customWidth="1"/>
    <col min="12" max="12" width="17.5703125" customWidth="1"/>
    <col min="13" max="13" width="14.85546875" customWidth="1"/>
    <col min="14" max="14" width="14.28515625" customWidth="1"/>
    <col min="15" max="15" width="14.42578125" customWidth="1"/>
    <col min="16" max="16" width="14.85546875" customWidth="1"/>
    <col min="17" max="17" width="15.42578125" customWidth="1"/>
    <col min="18" max="18" width="10.140625" bestFit="1" customWidth="1"/>
  </cols>
  <sheetData>
    <row r="1" spans="1:20" ht="23.25" hidden="1" x14ac:dyDescent="0.35">
      <c r="A1" s="121" t="s">
        <v>176</v>
      </c>
      <c r="B1" s="121"/>
      <c r="C1" s="121"/>
      <c r="D1" s="121"/>
      <c r="E1" s="121"/>
      <c r="F1" s="121"/>
      <c r="G1" s="121"/>
      <c r="H1" s="121"/>
      <c r="I1" s="121"/>
      <c r="J1" s="121"/>
      <c r="K1" s="121"/>
      <c r="L1" s="121"/>
      <c r="M1" s="121"/>
      <c r="N1" s="121"/>
      <c r="O1" s="121"/>
      <c r="P1" s="121"/>
      <c r="Q1" s="121"/>
    </row>
    <row r="2" spans="1:20" ht="39" x14ac:dyDescent="0.25">
      <c r="A2" s="84" t="s">
        <v>177</v>
      </c>
      <c r="B2" s="85" t="s">
        <v>178</v>
      </c>
      <c r="C2" s="86" t="s">
        <v>179</v>
      </c>
      <c r="D2" s="86" t="s">
        <v>180</v>
      </c>
      <c r="E2" s="86" t="s">
        <v>181</v>
      </c>
      <c r="F2" s="86" t="s">
        <v>182</v>
      </c>
      <c r="G2" s="86" t="s">
        <v>129</v>
      </c>
      <c r="H2" s="86" t="s">
        <v>130</v>
      </c>
      <c r="I2" s="85" t="s">
        <v>183</v>
      </c>
      <c r="J2" s="86" t="s">
        <v>131</v>
      </c>
      <c r="K2" s="86" t="s">
        <v>184</v>
      </c>
      <c r="L2" s="87" t="s">
        <v>133</v>
      </c>
      <c r="M2" s="88" t="s">
        <v>185</v>
      </c>
      <c r="N2" s="88" t="s">
        <v>4</v>
      </c>
      <c r="O2" s="88" t="s">
        <v>186</v>
      </c>
      <c r="P2" s="88" t="s">
        <v>187</v>
      </c>
      <c r="Q2" s="88" t="s">
        <v>188</v>
      </c>
    </row>
    <row r="3" spans="1:20" ht="18.75" customHeight="1" x14ac:dyDescent="0.25">
      <c r="A3" s="89" t="s">
        <v>189</v>
      </c>
      <c r="B3" s="90">
        <v>34</v>
      </c>
      <c r="C3" s="91">
        <f>SUM(1622.72+501.04)</f>
        <v>2123.7600000000002</v>
      </c>
      <c r="D3" s="91">
        <f>SUM(579.07+1875.43)</f>
        <v>2454.5</v>
      </c>
      <c r="E3" s="91">
        <f>SUM(7182.49+2217.72)</f>
        <v>9400.2099999999991</v>
      </c>
      <c r="F3" s="91">
        <f>SUM(217.67+704.96)</f>
        <v>922.63</v>
      </c>
      <c r="G3" s="91">
        <f>SUM(399.03+123.21)</f>
        <v>522.24</v>
      </c>
      <c r="H3" s="91">
        <f>SUM(713.18+220.23)</f>
        <v>933.41</v>
      </c>
      <c r="I3" s="91">
        <f>SUM(73.93+239.4)</f>
        <v>313.33000000000004</v>
      </c>
      <c r="J3" s="91">
        <f>SUM(984.28+303.91)</f>
        <v>1288.19</v>
      </c>
      <c r="K3" s="91">
        <f>SUM(8.49+0.6)</f>
        <v>9.09</v>
      </c>
      <c r="L3" s="91">
        <f>SUM(410.69+1330.09)</f>
        <v>1740.78</v>
      </c>
      <c r="M3" s="91">
        <f t="shared" ref="M3:M9" si="0">SUM(C3:L3)</f>
        <v>19708.139999999996</v>
      </c>
      <c r="N3" s="91">
        <f>SUM(2011.26+620.74)</f>
        <v>2632</v>
      </c>
      <c r="O3" s="91">
        <f>SUM(3012.01+56+929.61+12)</f>
        <v>4009.6200000000003</v>
      </c>
      <c r="P3" s="91">
        <f>SUM(1786.032+524.8)</f>
        <v>2310.8319999999999</v>
      </c>
      <c r="Q3" s="91">
        <f t="shared" ref="Q3:Q5" si="1">SUM(M3:P3)</f>
        <v>28660.591999999993</v>
      </c>
      <c r="R3" s="91"/>
      <c r="S3" s="91"/>
      <c r="T3" s="91"/>
    </row>
    <row r="4" spans="1:20" x14ac:dyDescent="0.25">
      <c r="A4" s="89" t="s">
        <v>190</v>
      </c>
      <c r="B4" s="90">
        <v>33</v>
      </c>
      <c r="C4" s="91">
        <v>1884.52</v>
      </c>
      <c r="D4" s="91">
        <v>1729.32</v>
      </c>
      <c r="E4" s="91">
        <v>9067.2000000000007</v>
      </c>
      <c r="F4" s="91">
        <v>1343.85</v>
      </c>
      <c r="G4" s="91">
        <v>849.56</v>
      </c>
      <c r="H4" s="91">
        <v>569.51</v>
      </c>
      <c r="I4" s="91">
        <v>308.93</v>
      </c>
      <c r="J4" s="91">
        <v>1482.87</v>
      </c>
      <c r="K4" s="91">
        <f>SUM(5.73+523.64)</f>
        <v>529.37</v>
      </c>
      <c r="L4" s="91">
        <v>0</v>
      </c>
      <c r="M4" s="91">
        <f t="shared" si="0"/>
        <v>17765.13</v>
      </c>
      <c r="N4" s="91">
        <v>2293.33</v>
      </c>
      <c r="O4" s="91">
        <v>3568.84</v>
      </c>
      <c r="P4" s="91">
        <f>SUM(495+1784.45)</f>
        <v>2279.4499999999998</v>
      </c>
      <c r="Q4" s="91">
        <f t="shared" si="1"/>
        <v>25906.75</v>
      </c>
      <c r="R4" s="91"/>
      <c r="S4" s="91"/>
      <c r="T4" s="91"/>
    </row>
    <row r="5" spans="1:20" x14ac:dyDescent="0.25">
      <c r="A5" s="92" t="s">
        <v>191</v>
      </c>
      <c r="B5" s="90">
        <v>37</v>
      </c>
      <c r="C5" s="91">
        <v>3855.96</v>
      </c>
      <c r="D5" s="91">
        <v>4507.28</v>
      </c>
      <c r="E5" s="91">
        <v>19749.259999999998</v>
      </c>
      <c r="F5" s="91">
        <v>2614.31</v>
      </c>
      <c r="G5" s="91">
        <v>944.94</v>
      </c>
      <c r="H5" s="91">
        <v>434.06</v>
      </c>
      <c r="I5" s="91">
        <v>0</v>
      </c>
      <c r="J5" s="91">
        <v>0</v>
      </c>
      <c r="K5" s="91">
        <v>1449.07</v>
      </c>
      <c r="L5" s="91">
        <v>0</v>
      </c>
      <c r="M5" s="91">
        <f t="shared" si="0"/>
        <v>33554.880000000005</v>
      </c>
      <c r="N5" s="91">
        <v>4187.0200000000004</v>
      </c>
      <c r="O5" s="91">
        <v>6696.15</v>
      </c>
      <c r="P5" s="91">
        <v>3866.09</v>
      </c>
      <c r="Q5" s="91">
        <f t="shared" si="1"/>
        <v>48304.140000000014</v>
      </c>
      <c r="R5" s="91"/>
      <c r="S5" s="91"/>
      <c r="T5" s="91"/>
    </row>
    <row r="6" spans="1:20" x14ac:dyDescent="0.25">
      <c r="A6" s="89" t="s">
        <v>192</v>
      </c>
      <c r="B6" s="90">
        <v>26</v>
      </c>
      <c r="C6" s="91">
        <v>2604.7399999999998</v>
      </c>
      <c r="D6" s="91">
        <v>4803.82</v>
      </c>
      <c r="E6" s="91">
        <v>11849.4</v>
      </c>
      <c r="F6" s="91">
        <v>0</v>
      </c>
      <c r="G6" s="91">
        <v>640.51</v>
      </c>
      <c r="H6" s="91">
        <v>659.75</v>
      </c>
      <c r="I6" s="91">
        <v>341.61</v>
      </c>
      <c r="J6" s="91">
        <v>1494.53</v>
      </c>
      <c r="K6" s="91">
        <v>1.1599999999999999</v>
      </c>
      <c r="L6" s="91">
        <v>0</v>
      </c>
      <c r="M6" s="91">
        <f t="shared" si="0"/>
        <v>22395.519999999997</v>
      </c>
      <c r="N6" s="91">
        <f>SUM(2118.83+837.45)</f>
        <v>2956.2799999999997</v>
      </c>
      <c r="O6" s="91">
        <f>SUM(52+4479.09)</f>
        <v>4531.09</v>
      </c>
      <c r="P6" s="91">
        <f>SUM(2239.56+260)</f>
        <v>2499.56</v>
      </c>
      <c r="Q6" s="91">
        <f>SUM(M6:P6)</f>
        <v>32382.449999999997</v>
      </c>
      <c r="R6" s="91"/>
      <c r="S6" s="91"/>
      <c r="T6" s="91"/>
    </row>
    <row r="7" spans="1:20" x14ac:dyDescent="0.25">
      <c r="A7" s="92" t="s">
        <v>193</v>
      </c>
      <c r="B7" s="90">
        <v>55</v>
      </c>
      <c r="C7" s="91">
        <v>7775.75</v>
      </c>
      <c r="D7" s="91">
        <v>274.41000000000003</v>
      </c>
      <c r="E7" s="91">
        <v>48300.21</v>
      </c>
      <c r="F7" s="91">
        <v>1848.37</v>
      </c>
      <c r="G7" s="91">
        <v>0</v>
      </c>
      <c r="H7" s="91">
        <v>1070.71</v>
      </c>
      <c r="I7" s="91">
        <v>0</v>
      </c>
      <c r="J7" s="91">
        <v>1527.99</v>
      </c>
      <c r="K7" s="91">
        <f>SUM(164.48+863.5+205.6+164.48+246.71+123.36+205.59+41.12+328.95)</f>
        <v>2343.7899999999995</v>
      </c>
      <c r="L7" s="91">
        <v>1032.3399999999999</v>
      </c>
      <c r="M7" s="91">
        <f t="shared" si="0"/>
        <v>64173.569999999992</v>
      </c>
      <c r="N7" s="91">
        <v>8983.5499999999993</v>
      </c>
      <c r="O7" s="91">
        <v>14925.51</v>
      </c>
      <c r="P7" s="91">
        <v>8709.14</v>
      </c>
      <c r="Q7" s="91">
        <f t="shared" ref="Q7:Q50" si="2">SUM(M7:P7)</f>
        <v>96791.76999999999</v>
      </c>
      <c r="R7" s="91"/>
      <c r="S7" s="91"/>
      <c r="T7" s="91"/>
    </row>
    <row r="8" spans="1:20" x14ac:dyDescent="0.25">
      <c r="A8" s="89" t="s">
        <v>194</v>
      </c>
      <c r="B8" s="90">
        <v>34</v>
      </c>
      <c r="C8" s="91">
        <v>1351.76</v>
      </c>
      <c r="D8" s="91">
        <v>1196.6400000000001</v>
      </c>
      <c r="E8" s="91">
        <v>5229.7700000000004</v>
      </c>
      <c r="F8" s="91">
        <v>1074.78</v>
      </c>
      <c r="G8" s="91">
        <v>997.2</v>
      </c>
      <c r="H8" s="91">
        <v>801.85</v>
      </c>
      <c r="I8" s="91">
        <v>218.29</v>
      </c>
      <c r="J8" s="91">
        <v>1375.4</v>
      </c>
      <c r="K8" s="91">
        <v>864.26</v>
      </c>
      <c r="L8" s="91">
        <v>25.47</v>
      </c>
      <c r="M8" s="91">
        <f t="shared" si="0"/>
        <v>13135.420000000002</v>
      </c>
      <c r="N8" s="91">
        <v>1615.02</v>
      </c>
      <c r="O8" s="91">
        <v>2633.6</v>
      </c>
      <c r="P8" s="91">
        <v>1736.81</v>
      </c>
      <c r="Q8" s="91">
        <f t="shared" si="2"/>
        <v>19120.850000000002</v>
      </c>
      <c r="R8" s="91"/>
      <c r="S8" s="91"/>
      <c r="T8" s="91"/>
    </row>
    <row r="9" spans="1:20" x14ac:dyDescent="0.25">
      <c r="A9" s="89" t="s">
        <v>195</v>
      </c>
      <c r="B9" s="90">
        <v>65</v>
      </c>
      <c r="C9" s="91">
        <v>8058.9</v>
      </c>
      <c r="D9" s="91">
        <v>8701.08</v>
      </c>
      <c r="E9" s="91">
        <v>35430.269999999997</v>
      </c>
      <c r="F9" s="91">
        <v>5945.08</v>
      </c>
      <c r="G9" s="91">
        <v>3633.1</v>
      </c>
      <c r="H9" s="91">
        <v>3302.82</v>
      </c>
      <c r="I9" s="91">
        <v>0</v>
      </c>
      <c r="J9" s="91">
        <v>0</v>
      </c>
      <c r="K9" s="91">
        <v>0</v>
      </c>
      <c r="L9" s="91">
        <v>2509.6</v>
      </c>
      <c r="M9" s="91">
        <f t="shared" si="0"/>
        <v>67580.850000000006</v>
      </c>
      <c r="N9" s="91">
        <v>8439.25</v>
      </c>
      <c r="O9" s="91">
        <v>13569.58</v>
      </c>
      <c r="P9" s="91">
        <f>SUM(6720.29+945)</f>
        <v>7665.29</v>
      </c>
      <c r="Q9" s="91">
        <f>SUM(M9:P9)</f>
        <v>97254.97</v>
      </c>
      <c r="R9" s="91"/>
      <c r="S9" s="91"/>
      <c r="T9" s="91"/>
    </row>
    <row r="10" spans="1:20" x14ac:dyDescent="0.25">
      <c r="A10" s="89" t="s">
        <v>196</v>
      </c>
      <c r="B10" s="90">
        <v>102</v>
      </c>
      <c r="C10" s="91">
        <v>20575.009999999998</v>
      </c>
      <c r="D10" s="91">
        <v>17539.349999999999</v>
      </c>
      <c r="E10" s="91">
        <f>SUM(98973.45+1357.82+17000.4)</f>
        <v>117331.67000000001</v>
      </c>
      <c r="F10" s="91">
        <v>8769.68</v>
      </c>
      <c r="G10" s="91">
        <v>3204.37</v>
      </c>
      <c r="H10" s="91">
        <v>3035.64</v>
      </c>
      <c r="I10" s="91">
        <v>0</v>
      </c>
      <c r="J10" s="91">
        <v>0</v>
      </c>
      <c r="K10" s="91">
        <v>18838.77</v>
      </c>
      <c r="L10" s="91">
        <v>0</v>
      </c>
      <c r="M10" s="91">
        <f t="shared" ref="M10:M64" si="3">SUM(C10:L10)</f>
        <v>189294.49000000002</v>
      </c>
      <c r="N10" s="91">
        <f>SUM(17711.08+4486.33)</f>
        <v>22197.410000000003</v>
      </c>
      <c r="O10" s="91">
        <f>SUM(37858.86+198.49)</f>
        <v>38057.35</v>
      </c>
      <c r="P10" s="91">
        <f>SUM(18929.48+595.47+992.47)</f>
        <v>20517.420000000002</v>
      </c>
      <c r="Q10" s="91">
        <f t="shared" si="2"/>
        <v>270066.67000000004</v>
      </c>
      <c r="R10" s="91"/>
      <c r="S10" s="91"/>
      <c r="T10" s="91"/>
    </row>
    <row r="11" spans="1:20" x14ac:dyDescent="0.25">
      <c r="A11" s="89" t="s">
        <v>197</v>
      </c>
      <c r="B11" s="90">
        <v>29</v>
      </c>
      <c r="C11" s="91">
        <v>3217.96</v>
      </c>
      <c r="D11" s="91">
        <v>3937.73</v>
      </c>
      <c r="E11" s="91">
        <v>11983.48</v>
      </c>
      <c r="F11" s="91">
        <v>2584.9</v>
      </c>
      <c r="G11" s="91">
        <v>1213.3</v>
      </c>
      <c r="H11" s="91">
        <v>776.25</v>
      </c>
      <c r="I11" s="91">
        <v>184.66</v>
      </c>
      <c r="J11" s="91">
        <v>0</v>
      </c>
      <c r="K11" s="91">
        <v>0</v>
      </c>
      <c r="L11" s="91">
        <v>0</v>
      </c>
      <c r="M11" s="91">
        <f t="shared" si="3"/>
        <v>23898.28</v>
      </c>
      <c r="N11" s="91">
        <f>SUM(2222.63+686.63)</f>
        <v>2909.26</v>
      </c>
      <c r="O11" s="91">
        <f>SUM(4646.28+58)</f>
        <v>4704.28</v>
      </c>
      <c r="P11" s="91">
        <f>SUM(2323.12+435)</f>
        <v>2758.12</v>
      </c>
      <c r="Q11" s="91">
        <f t="shared" si="2"/>
        <v>34269.94</v>
      </c>
      <c r="R11" s="91"/>
      <c r="S11" s="91"/>
      <c r="T11" s="91"/>
    </row>
    <row r="12" spans="1:20" x14ac:dyDescent="0.25">
      <c r="A12" s="89" t="s">
        <v>198</v>
      </c>
      <c r="B12" s="90">
        <v>221</v>
      </c>
      <c r="C12" s="91">
        <v>33681.629999999997</v>
      </c>
      <c r="D12" s="91">
        <v>52923.8</v>
      </c>
      <c r="E12" s="91">
        <v>120140.63</v>
      </c>
      <c r="F12" s="91">
        <v>34181.01</v>
      </c>
      <c r="G12" s="91">
        <v>16539.169999999998</v>
      </c>
      <c r="H12" s="91">
        <v>10573.13</v>
      </c>
      <c r="I12" s="91">
        <v>1238.8800000000001</v>
      </c>
      <c r="J12" s="91">
        <v>24531.13</v>
      </c>
      <c r="K12" s="91">
        <f>SUM(17172.89+9.53)</f>
        <v>17182.419999999998</v>
      </c>
      <c r="L12" s="91">
        <v>3135</v>
      </c>
      <c r="M12" s="91">
        <f>SUM(C12:L12)</f>
        <v>314126.8</v>
      </c>
      <c r="N12" s="91">
        <v>39586.33</v>
      </c>
      <c r="O12" s="91">
        <v>61538.77</v>
      </c>
      <c r="P12" s="91">
        <f>SUM(30768.38+3315)</f>
        <v>34083.380000000005</v>
      </c>
      <c r="Q12" s="91">
        <f t="shared" si="2"/>
        <v>449335.28</v>
      </c>
      <c r="R12" s="91"/>
      <c r="S12" s="91"/>
      <c r="T12" s="91"/>
    </row>
    <row r="13" spans="1:20" x14ac:dyDescent="0.25">
      <c r="A13" s="89" t="s">
        <v>199</v>
      </c>
      <c r="B13" s="90">
        <v>24</v>
      </c>
      <c r="C13" s="91">
        <v>2840.45</v>
      </c>
      <c r="D13" s="91">
        <v>1825.35</v>
      </c>
      <c r="E13" s="91">
        <v>9523.4699999999993</v>
      </c>
      <c r="F13" s="91">
        <v>1722.91</v>
      </c>
      <c r="G13" s="91">
        <v>628.63</v>
      </c>
      <c r="H13" s="91">
        <v>0</v>
      </c>
      <c r="I13" s="91">
        <v>232.82</v>
      </c>
      <c r="J13" s="91">
        <v>0</v>
      </c>
      <c r="K13" s="91">
        <v>361.5</v>
      </c>
      <c r="L13" s="91">
        <f>SUM(984.88+1814.76)</f>
        <v>2799.64</v>
      </c>
      <c r="M13" s="91">
        <f t="shared" si="3"/>
        <v>19934.769999999997</v>
      </c>
      <c r="N13" s="91">
        <v>2488.09</v>
      </c>
      <c r="O13" s="91">
        <v>3972.56</v>
      </c>
      <c r="P13" s="91">
        <f>SUM(1962.29+360)</f>
        <v>2322.29</v>
      </c>
      <c r="Q13" s="91">
        <f t="shared" si="2"/>
        <v>28717.71</v>
      </c>
      <c r="R13" s="91"/>
      <c r="S13" s="91"/>
      <c r="T13" s="91"/>
    </row>
    <row r="14" spans="1:20" ht="17.25" customHeight="1" x14ac:dyDescent="0.25">
      <c r="A14" s="89" t="s">
        <v>200</v>
      </c>
      <c r="B14" s="90">
        <v>14</v>
      </c>
      <c r="C14" s="91">
        <v>1273.08</v>
      </c>
      <c r="D14" s="91">
        <v>4263.5600000000004</v>
      </c>
      <c r="E14" s="91">
        <v>3250.98</v>
      </c>
      <c r="F14" s="91">
        <v>960.03</v>
      </c>
      <c r="G14" s="91">
        <v>605.23</v>
      </c>
      <c r="H14" s="91">
        <v>655.33000000000004</v>
      </c>
      <c r="I14" s="91">
        <v>208.7</v>
      </c>
      <c r="J14" s="91">
        <v>960.03</v>
      </c>
      <c r="K14" s="91">
        <v>0</v>
      </c>
      <c r="L14" s="91">
        <v>0</v>
      </c>
      <c r="M14" s="91">
        <f>SUM(C14:L14)</f>
        <v>12176.940000000002</v>
      </c>
      <c r="N14" s="91">
        <v>1750.22</v>
      </c>
      <c r="O14" s="91">
        <v>2684.58</v>
      </c>
      <c r="P14" s="91">
        <v>1552.3</v>
      </c>
      <c r="Q14" s="91">
        <f t="shared" si="2"/>
        <v>18164.04</v>
      </c>
      <c r="R14" s="91"/>
      <c r="S14" s="91"/>
      <c r="T14" s="91"/>
    </row>
    <row r="15" spans="1:20" x14ac:dyDescent="0.25">
      <c r="A15" s="89" t="s">
        <v>201</v>
      </c>
      <c r="B15" s="90">
        <v>66</v>
      </c>
      <c r="C15" s="91">
        <v>1201.8499999999999</v>
      </c>
      <c r="D15" s="91">
        <v>1772.96</v>
      </c>
      <c r="E15" s="91">
        <v>6176.76</v>
      </c>
      <c r="F15" s="91">
        <v>1507.19</v>
      </c>
      <c r="G15" s="91">
        <v>788.1</v>
      </c>
      <c r="H15" s="91">
        <v>1487.54</v>
      </c>
      <c r="I15" s="91">
        <v>246.29</v>
      </c>
      <c r="J15" s="91">
        <v>0</v>
      </c>
      <c r="K15" s="91">
        <v>66.790000000000006</v>
      </c>
      <c r="L15" s="91">
        <v>0</v>
      </c>
      <c r="M15" s="91">
        <f>SUM(C15:L15)</f>
        <v>13247.480000000003</v>
      </c>
      <c r="N15" s="91">
        <v>1635.61</v>
      </c>
      <c r="O15" s="91">
        <v>2586.5100000000002</v>
      </c>
      <c r="P15" s="91">
        <v>2238.2399999999998</v>
      </c>
      <c r="Q15" s="91">
        <f t="shared" si="2"/>
        <v>19707.840000000004</v>
      </c>
      <c r="R15" s="91"/>
      <c r="S15" s="91"/>
      <c r="T15" s="91"/>
    </row>
    <row r="16" spans="1:20" x14ac:dyDescent="0.25">
      <c r="A16" s="93" t="s">
        <v>202</v>
      </c>
      <c r="B16" s="90">
        <v>45</v>
      </c>
      <c r="C16" s="91">
        <v>2677.19</v>
      </c>
      <c r="D16" s="91">
        <v>2713.94</v>
      </c>
      <c r="E16" s="91">
        <f>SUM(10529.86+1445.41)</f>
        <v>11975.27</v>
      </c>
      <c r="F16" s="91">
        <v>1909.13</v>
      </c>
      <c r="G16" s="91">
        <v>680.28</v>
      </c>
      <c r="H16" s="91">
        <v>921.69</v>
      </c>
      <c r="I16" s="91">
        <v>219.49</v>
      </c>
      <c r="J16" s="91">
        <v>0</v>
      </c>
      <c r="K16" s="91">
        <f>SUM(230.05+138.03+506.1+184.04+46.01+506.09+92.02)</f>
        <v>1702.34</v>
      </c>
      <c r="L16" s="91">
        <v>516.54</v>
      </c>
      <c r="M16" s="91">
        <f>SUM(C16:L16)</f>
        <v>23315.870000000003</v>
      </c>
      <c r="N16" s="91">
        <v>3118.34</v>
      </c>
      <c r="O16" s="91">
        <v>4708.18</v>
      </c>
      <c r="P16" s="91">
        <v>3344.08</v>
      </c>
      <c r="Q16" s="91">
        <f t="shared" si="2"/>
        <v>34486.47</v>
      </c>
      <c r="R16" s="91"/>
      <c r="S16" s="91"/>
      <c r="T16" s="91"/>
    </row>
    <row r="17" spans="1:20" x14ac:dyDescent="0.25">
      <c r="A17" s="89" t="s">
        <v>203</v>
      </c>
      <c r="B17" s="90">
        <v>120</v>
      </c>
      <c r="C17" s="91">
        <v>17906.97</v>
      </c>
      <c r="D17" s="91">
        <v>15650.71</v>
      </c>
      <c r="E17" s="91">
        <v>104799.7</v>
      </c>
      <c r="F17" s="91">
        <v>10127.74</v>
      </c>
      <c r="G17" s="91">
        <v>3522.72</v>
      </c>
      <c r="H17" s="91">
        <v>1451.58</v>
      </c>
      <c r="I17" s="91">
        <v>0</v>
      </c>
      <c r="J17" s="91">
        <v>0</v>
      </c>
      <c r="K17" s="91">
        <f>SUM(965.85+1650+2538.32+6759.9+1.49)</f>
        <v>11915.56</v>
      </c>
      <c r="L17" s="91">
        <v>2528.48</v>
      </c>
      <c r="M17" s="91">
        <f t="shared" si="3"/>
        <v>167903.46</v>
      </c>
      <c r="N17" s="91">
        <v>20129.75</v>
      </c>
      <c r="O17" s="91">
        <v>33658.160000000003</v>
      </c>
      <c r="P17" s="91">
        <f>SUM(1800+16709.15)</f>
        <v>18509.150000000001</v>
      </c>
      <c r="Q17" s="91">
        <f t="shared" si="2"/>
        <v>240200.52</v>
      </c>
      <c r="R17" s="91"/>
      <c r="S17" s="91"/>
      <c r="T17" s="91"/>
    </row>
    <row r="18" spans="1:20" x14ac:dyDescent="0.25">
      <c r="A18" s="89" t="s">
        <v>204</v>
      </c>
      <c r="B18" s="90">
        <v>31</v>
      </c>
      <c r="C18">
        <v>1241.99</v>
      </c>
      <c r="D18" s="91">
        <v>834.79</v>
      </c>
      <c r="E18" s="91">
        <v>4265.49</v>
      </c>
      <c r="F18" s="91">
        <v>682.13</v>
      </c>
      <c r="G18" s="91">
        <v>229.08</v>
      </c>
      <c r="H18" s="91">
        <v>716.46</v>
      </c>
      <c r="I18" s="91">
        <v>0</v>
      </c>
      <c r="J18" s="91">
        <v>906.08</v>
      </c>
      <c r="K18" s="91">
        <f>SUM(10.19+116.28+174.42+203.48+145.35+29.07+145.35)</f>
        <v>824.1400000000001</v>
      </c>
      <c r="L18" s="91">
        <f>SUM(148.37+1.81+1.36+1.37+83.6)</f>
        <v>236.51000000000002</v>
      </c>
      <c r="M18" s="91">
        <f t="shared" si="3"/>
        <v>9936.67</v>
      </c>
      <c r="N18" s="91">
        <f>SUM(387.4+940.05)</f>
        <v>1327.4499999999998</v>
      </c>
      <c r="O18" s="91">
        <f>SUM(62+1987.34)</f>
        <v>2049.34</v>
      </c>
      <c r="P18" s="91">
        <f>SUM(993.64+310)</f>
        <v>1303.6399999999999</v>
      </c>
      <c r="Q18" s="91">
        <f t="shared" si="2"/>
        <v>14617.099999999999</v>
      </c>
      <c r="R18" s="91"/>
      <c r="S18" s="91"/>
      <c r="T18" s="91"/>
    </row>
    <row r="19" spans="1:20" x14ac:dyDescent="0.25">
      <c r="A19" s="89" t="s">
        <v>205</v>
      </c>
      <c r="B19" s="90">
        <v>18</v>
      </c>
      <c r="C19" s="91">
        <v>1596.16</v>
      </c>
      <c r="D19" s="91">
        <f>SUM(1334.5+126)</f>
        <v>1460.5</v>
      </c>
      <c r="E19" s="91">
        <v>5835.12</v>
      </c>
      <c r="F19" s="91">
        <v>719.58</v>
      </c>
      <c r="G19" s="91">
        <v>654.17999999999995</v>
      </c>
      <c r="H19" s="91">
        <v>568.05999999999995</v>
      </c>
      <c r="I19" s="91">
        <v>0</v>
      </c>
      <c r="J19" s="91">
        <v>0</v>
      </c>
      <c r="K19" s="91">
        <v>8.3699999999999992</v>
      </c>
      <c r="L19" s="91">
        <v>0</v>
      </c>
      <c r="M19" s="91">
        <f t="shared" si="3"/>
        <v>10841.97</v>
      </c>
      <c r="N19" s="91">
        <f>SUM(1013.99+361.94)</f>
        <v>1375.93</v>
      </c>
      <c r="O19" s="91">
        <v>2143.1799999999998</v>
      </c>
      <c r="P19" s="91">
        <f>SUM(180+1071.6)</f>
        <v>1251.5999999999999</v>
      </c>
      <c r="Q19" s="91">
        <f t="shared" si="2"/>
        <v>15612.68</v>
      </c>
      <c r="R19" s="91"/>
      <c r="S19" s="91"/>
      <c r="T19" s="91"/>
    </row>
    <row r="20" spans="1:20" x14ac:dyDescent="0.25">
      <c r="A20" s="89" t="s">
        <v>206</v>
      </c>
      <c r="B20" s="90">
        <v>110</v>
      </c>
      <c r="C20" s="91">
        <v>8853.25</v>
      </c>
      <c r="D20" s="91">
        <f>SUM(33967.3)</f>
        <v>33967.300000000003</v>
      </c>
      <c r="E20" s="91">
        <v>21967.89</v>
      </c>
      <c r="F20" s="91">
        <v>4208.8599999999997</v>
      </c>
      <c r="G20" s="91">
        <v>2031.84</v>
      </c>
      <c r="H20" s="91">
        <v>1161.02</v>
      </c>
      <c r="I20" s="91">
        <v>362.93</v>
      </c>
      <c r="J20" s="91">
        <v>0</v>
      </c>
      <c r="K20" s="91">
        <f>SUM(1969.63+4.3)</f>
        <v>1973.93</v>
      </c>
      <c r="L20" s="91">
        <v>0</v>
      </c>
      <c r="M20" s="91">
        <f>SUM(C20:L20)</f>
        <v>74527.01999999999</v>
      </c>
      <c r="N20" s="91">
        <f>SUM(7127.13+2705.12)</f>
        <v>9832.25</v>
      </c>
      <c r="O20" s="91">
        <f>SUM(218+14905.39)</f>
        <v>15123.39</v>
      </c>
      <c r="P20" s="91">
        <f>SUM(7452.72+1099.3+1090)</f>
        <v>9642.02</v>
      </c>
      <c r="Q20" s="91">
        <f t="shared" si="2"/>
        <v>109124.68</v>
      </c>
      <c r="R20" s="91"/>
      <c r="S20" s="91"/>
      <c r="T20" s="91"/>
    </row>
    <row r="21" spans="1:20" x14ac:dyDescent="0.25">
      <c r="A21" s="89" t="s">
        <v>207</v>
      </c>
      <c r="B21" s="90">
        <v>161</v>
      </c>
      <c r="C21" s="91">
        <v>23606</v>
      </c>
      <c r="D21" s="91">
        <v>37917.07</v>
      </c>
      <c r="E21" s="91">
        <v>100765.51</v>
      </c>
      <c r="F21" s="91">
        <v>14898.84</v>
      </c>
      <c r="G21" s="91">
        <v>4643.82</v>
      </c>
      <c r="H21" s="91">
        <v>5417.75</v>
      </c>
      <c r="I21" s="91">
        <v>541.82000000000005</v>
      </c>
      <c r="J21" s="91">
        <v>0</v>
      </c>
      <c r="K21" s="91">
        <v>10946.95</v>
      </c>
      <c r="L21" s="91">
        <v>0</v>
      </c>
      <c r="M21" s="91">
        <f>SUM(C21:L21)</f>
        <v>198737.76</v>
      </c>
      <c r="N21" s="91">
        <v>23198.51</v>
      </c>
      <c r="O21" s="91">
        <v>39103.480000000003</v>
      </c>
      <c r="P21" s="91">
        <f>SUM(2415+19390.84)</f>
        <v>21805.84</v>
      </c>
      <c r="Q21" s="91">
        <f t="shared" si="2"/>
        <v>282845.59000000003</v>
      </c>
      <c r="R21" s="91"/>
      <c r="S21" s="91"/>
      <c r="T21" s="91"/>
    </row>
    <row r="22" spans="1:20" x14ac:dyDescent="0.25">
      <c r="A22" s="89" t="s">
        <v>208</v>
      </c>
      <c r="B22" s="90">
        <v>2</v>
      </c>
      <c r="C22" s="91">
        <v>86.52</v>
      </c>
      <c r="D22" s="91">
        <v>190.99</v>
      </c>
      <c r="E22" s="91">
        <v>383.65</v>
      </c>
      <c r="F22" s="91">
        <v>0</v>
      </c>
      <c r="G22" s="91">
        <v>22.69</v>
      </c>
      <c r="H22" s="91">
        <v>55.75</v>
      </c>
      <c r="I22" s="91">
        <v>14.18</v>
      </c>
      <c r="J22" s="91">
        <v>59.57</v>
      </c>
      <c r="K22" s="91">
        <v>58.13</v>
      </c>
      <c r="L22" s="91">
        <v>27.95</v>
      </c>
      <c r="M22" s="91">
        <f t="shared" si="3"/>
        <v>899.43000000000006</v>
      </c>
      <c r="N22" s="91">
        <v>110.87</v>
      </c>
      <c r="O22" s="91">
        <v>173.49</v>
      </c>
      <c r="P22" s="91">
        <f>SUM(30+84.75)</f>
        <v>114.75</v>
      </c>
      <c r="Q22" s="91">
        <f t="shared" si="2"/>
        <v>1298.54</v>
      </c>
      <c r="R22" s="91"/>
      <c r="S22" s="91"/>
      <c r="T22" s="91"/>
    </row>
    <row r="23" spans="1:20" x14ac:dyDescent="0.25">
      <c r="A23" s="89" t="s">
        <v>209</v>
      </c>
      <c r="B23" s="90">
        <v>33</v>
      </c>
      <c r="C23" s="91">
        <v>2425.8200000000002</v>
      </c>
      <c r="D23" s="91">
        <v>1098.29</v>
      </c>
      <c r="E23" s="91">
        <v>11592.2</v>
      </c>
      <c r="F23" s="91">
        <v>2147.4299999999998</v>
      </c>
      <c r="G23" s="91">
        <v>1073.74</v>
      </c>
      <c r="H23" s="91">
        <v>994.19</v>
      </c>
      <c r="I23" s="91">
        <v>0</v>
      </c>
      <c r="J23" s="91">
        <v>0</v>
      </c>
      <c r="K23" s="91">
        <f>SUM(554.81+1.6)</f>
        <v>556.41</v>
      </c>
      <c r="L23" s="91">
        <v>450.42</v>
      </c>
      <c r="M23" s="91">
        <f t="shared" si="3"/>
        <v>20338.5</v>
      </c>
      <c r="N23" s="91">
        <v>2526.15</v>
      </c>
      <c r="O23" s="91">
        <v>3975.3</v>
      </c>
      <c r="P23" s="91">
        <f>SUM(1987.65+495)</f>
        <v>2482.65</v>
      </c>
      <c r="Q23" s="91">
        <f>SUM(M23:P23)</f>
        <v>29322.600000000002</v>
      </c>
      <c r="R23" s="91"/>
      <c r="S23" s="91"/>
      <c r="T23" s="91"/>
    </row>
    <row r="24" spans="1:20" x14ac:dyDescent="0.25">
      <c r="A24" s="89" t="s">
        <v>210</v>
      </c>
      <c r="B24" s="90">
        <v>72</v>
      </c>
      <c r="C24" s="91">
        <v>5313.14</v>
      </c>
      <c r="D24" s="91">
        <v>3179.19</v>
      </c>
      <c r="E24" s="91">
        <v>20250.95</v>
      </c>
      <c r="F24" s="91">
        <v>0</v>
      </c>
      <c r="G24" s="91">
        <v>1742.01</v>
      </c>
      <c r="H24" s="91">
        <v>1988.88</v>
      </c>
      <c r="I24" s="91">
        <v>0</v>
      </c>
      <c r="J24" s="91">
        <v>4180.8</v>
      </c>
      <c r="K24" s="91">
        <v>48.72</v>
      </c>
      <c r="L24" s="91">
        <v>0</v>
      </c>
      <c r="M24" s="91">
        <f t="shared" si="3"/>
        <v>36703.69</v>
      </c>
      <c r="N24" s="91">
        <f>SUM(3399.34+1373.21)</f>
        <v>4772.55</v>
      </c>
      <c r="O24" s="91">
        <f>SUM(7340.72+142)</f>
        <v>7482.72</v>
      </c>
      <c r="P24" s="91">
        <f>SUM(3670.37+360+720)</f>
        <v>4750.37</v>
      </c>
      <c r="Q24" s="91">
        <f t="shared" si="2"/>
        <v>53709.330000000009</v>
      </c>
      <c r="R24" s="91"/>
      <c r="S24" s="91"/>
      <c r="T24" s="91"/>
    </row>
    <row r="25" spans="1:20" x14ac:dyDescent="0.25">
      <c r="A25" s="89" t="s">
        <v>211</v>
      </c>
      <c r="B25" s="90">
        <v>25</v>
      </c>
      <c r="C25" s="91">
        <v>1588.38</v>
      </c>
      <c r="D25" s="91">
        <v>1147.3499999999999</v>
      </c>
      <c r="E25" s="91">
        <v>6158.24</v>
      </c>
      <c r="F25" s="91">
        <v>1132.74</v>
      </c>
      <c r="G25" s="91">
        <v>559.87</v>
      </c>
      <c r="H25" s="91">
        <v>249.19</v>
      </c>
      <c r="I25" s="91">
        <v>182.27</v>
      </c>
      <c r="J25" s="91">
        <v>781.17</v>
      </c>
      <c r="K25" s="91">
        <v>8.83</v>
      </c>
      <c r="L25" s="91">
        <v>807.21</v>
      </c>
      <c r="M25" s="91">
        <f t="shared" si="3"/>
        <v>12615.25</v>
      </c>
      <c r="N25" s="91">
        <f>SUM(1167.44+479.34)</f>
        <v>1646.78</v>
      </c>
      <c r="O25" s="91">
        <f>SUM(50+2468.04)</f>
        <v>2518.04</v>
      </c>
      <c r="P25" s="91">
        <f>SUM(1234.06+375)</f>
        <v>1609.06</v>
      </c>
      <c r="Q25" s="91">
        <f>SUM(M25:P25)</f>
        <v>18389.13</v>
      </c>
      <c r="R25" s="91"/>
      <c r="S25" s="91"/>
      <c r="T25" s="91"/>
    </row>
    <row r="26" spans="1:20" x14ac:dyDescent="0.25">
      <c r="A26" s="89" t="s">
        <v>212</v>
      </c>
      <c r="B26" s="90">
        <v>99</v>
      </c>
      <c r="C26" s="91">
        <v>9681.2000000000007</v>
      </c>
      <c r="D26" s="91">
        <v>14839.13</v>
      </c>
      <c r="E26" s="91">
        <v>33011.160000000003</v>
      </c>
      <c r="F26" s="91">
        <v>0</v>
      </c>
      <c r="G26" s="91">
        <v>2539.33</v>
      </c>
      <c r="H26" s="91">
        <v>1904.53</v>
      </c>
      <c r="I26" s="91">
        <v>0</v>
      </c>
      <c r="J26" s="91">
        <v>0</v>
      </c>
      <c r="K26" s="91">
        <f>SUM(317.44+1.39+2696.87)</f>
        <v>3015.7</v>
      </c>
      <c r="L26" s="91">
        <f>SUM(247.97+87.63+517.79)</f>
        <v>853.39</v>
      </c>
      <c r="M26" s="91">
        <f t="shared" si="3"/>
        <v>65844.44</v>
      </c>
      <c r="N26" s="91">
        <f>SUM(6230.72+2200.02)</f>
        <v>8430.74</v>
      </c>
      <c r="O26" s="91">
        <f>SUM(182+13168.96)</f>
        <v>13350.96</v>
      </c>
      <c r="P26" s="91">
        <f>SUM(990+990+6584.44)</f>
        <v>8564.4399999999987</v>
      </c>
      <c r="Q26" s="91">
        <f t="shared" si="2"/>
        <v>96190.580000000016</v>
      </c>
      <c r="R26" s="91"/>
      <c r="S26" s="91"/>
      <c r="T26" s="91"/>
    </row>
    <row r="27" spans="1:20" x14ac:dyDescent="0.25">
      <c r="A27" s="89" t="s">
        <v>213</v>
      </c>
      <c r="B27" s="90">
        <v>66</v>
      </c>
      <c r="C27" s="91">
        <v>10850.91</v>
      </c>
      <c r="D27" s="91">
        <v>8931.6200000000008</v>
      </c>
      <c r="E27" s="91">
        <v>55321.93</v>
      </c>
      <c r="F27" s="91">
        <v>5959.1</v>
      </c>
      <c r="G27" s="91">
        <v>4091.34</v>
      </c>
      <c r="H27" s="91">
        <v>2783.88</v>
      </c>
      <c r="I27" s="91">
        <v>0</v>
      </c>
      <c r="J27" s="91">
        <v>0</v>
      </c>
      <c r="K27" s="91">
        <v>0</v>
      </c>
      <c r="L27" s="91">
        <v>0</v>
      </c>
      <c r="M27" s="91">
        <f t="shared" si="3"/>
        <v>87938.78</v>
      </c>
      <c r="N27" s="91">
        <v>10724.92</v>
      </c>
      <c r="O27" s="91">
        <v>17587.75</v>
      </c>
      <c r="P27" s="91">
        <f>SUM(8727.87+990)</f>
        <v>9717.8700000000008</v>
      </c>
      <c r="Q27" s="91">
        <f t="shared" si="2"/>
        <v>125969.31999999999</v>
      </c>
      <c r="R27" s="91"/>
      <c r="S27" s="91"/>
      <c r="T27" s="91"/>
    </row>
    <row r="28" spans="1:20" x14ac:dyDescent="0.25">
      <c r="A28" s="89" t="s">
        <v>214</v>
      </c>
      <c r="B28" s="90">
        <v>96</v>
      </c>
      <c r="C28" s="91">
        <v>5031.46</v>
      </c>
      <c r="D28" s="91">
        <v>5648.18</v>
      </c>
      <c r="E28" s="91">
        <v>27036.43</v>
      </c>
      <c r="F28" s="91">
        <v>4286.53</v>
      </c>
      <c r="G28" s="91">
        <v>2886.89</v>
      </c>
      <c r="H28" s="91">
        <v>3002.32</v>
      </c>
      <c r="I28" s="91">
        <v>577.36</v>
      </c>
      <c r="J28" s="91">
        <v>0</v>
      </c>
      <c r="K28" s="91">
        <v>77.5</v>
      </c>
      <c r="L28" s="91">
        <v>0</v>
      </c>
      <c r="M28" s="91">
        <f t="shared" si="3"/>
        <v>48546.67</v>
      </c>
      <c r="N28" s="91">
        <v>6162.92</v>
      </c>
      <c r="O28" s="91">
        <v>9538.24</v>
      </c>
      <c r="P28" s="91">
        <v>6020.53</v>
      </c>
      <c r="Q28" s="91">
        <f t="shared" si="2"/>
        <v>70268.36</v>
      </c>
      <c r="R28" s="91"/>
      <c r="S28" s="91"/>
      <c r="T28" s="91"/>
    </row>
    <row r="29" spans="1:20" x14ac:dyDescent="0.25">
      <c r="A29" s="89" t="s">
        <v>215</v>
      </c>
      <c r="B29" s="90">
        <v>37</v>
      </c>
      <c r="C29" s="91">
        <v>4793.8100000000004</v>
      </c>
      <c r="D29" s="91">
        <v>2554.1</v>
      </c>
      <c r="E29" s="91">
        <v>16739.04</v>
      </c>
      <c r="F29" s="91">
        <v>1689.64</v>
      </c>
      <c r="G29" s="91">
        <v>1375.3</v>
      </c>
      <c r="H29" s="91">
        <v>2903</v>
      </c>
      <c r="I29" s="91">
        <v>715.12</v>
      </c>
      <c r="J29" s="91">
        <v>0</v>
      </c>
      <c r="K29" s="91">
        <v>6.02</v>
      </c>
      <c r="L29" s="91">
        <v>0</v>
      </c>
      <c r="M29" s="91">
        <f t="shared" si="3"/>
        <v>30776.03</v>
      </c>
      <c r="N29" s="91">
        <f>SUM(2880.18+1221.38)</f>
        <v>4101.5599999999995</v>
      </c>
      <c r="O29" s="91">
        <f>SUM(74+6155.18)</f>
        <v>6229.18</v>
      </c>
      <c r="P29" s="91">
        <f>SUM(370+3077.63)</f>
        <v>3447.63</v>
      </c>
      <c r="Q29" s="91">
        <f t="shared" si="2"/>
        <v>44554.399999999994</v>
      </c>
      <c r="R29" s="91"/>
      <c r="S29" s="91"/>
      <c r="T29" s="91"/>
    </row>
    <row r="30" spans="1:20" x14ac:dyDescent="0.25">
      <c r="A30" s="89" t="s">
        <v>216</v>
      </c>
      <c r="B30" s="90">
        <v>3</v>
      </c>
      <c r="C30" s="91">
        <v>112.64</v>
      </c>
      <c r="D30" s="91">
        <v>107.09</v>
      </c>
      <c r="E30" s="91">
        <v>514.78</v>
      </c>
      <c r="F30" s="91">
        <v>46.16</v>
      </c>
      <c r="G30" s="91">
        <v>27.7</v>
      </c>
      <c r="H30" s="91">
        <v>33.229999999999997</v>
      </c>
      <c r="I30" s="91">
        <v>0</v>
      </c>
      <c r="J30" s="91">
        <v>0</v>
      </c>
      <c r="K30" s="91">
        <v>0</v>
      </c>
      <c r="L30" s="91">
        <v>0</v>
      </c>
      <c r="M30" s="91">
        <f t="shared" si="3"/>
        <v>841.6</v>
      </c>
      <c r="N30" s="91">
        <v>112.64</v>
      </c>
      <c r="O30" s="91">
        <v>174.32</v>
      </c>
      <c r="P30" s="91">
        <v>114.16</v>
      </c>
      <c r="Q30" s="91">
        <f t="shared" si="2"/>
        <v>1242.72</v>
      </c>
      <c r="R30" s="91"/>
      <c r="S30" s="91"/>
      <c r="T30" s="91"/>
    </row>
    <row r="31" spans="1:20" x14ac:dyDescent="0.25">
      <c r="A31" s="89" t="s">
        <v>217</v>
      </c>
      <c r="B31" s="90">
        <v>32</v>
      </c>
      <c r="C31" s="91">
        <v>1559.13</v>
      </c>
      <c r="D31" s="91">
        <v>831.09</v>
      </c>
      <c r="E31" s="91">
        <v>5303.58</v>
      </c>
      <c r="F31" s="91">
        <v>1009.59</v>
      </c>
      <c r="G31" s="91">
        <v>447.29</v>
      </c>
      <c r="H31" s="91">
        <v>797.84</v>
      </c>
      <c r="I31" s="91">
        <v>332.27</v>
      </c>
      <c r="J31" s="91">
        <v>792.35</v>
      </c>
      <c r="K31" s="91">
        <v>16.71</v>
      </c>
      <c r="L31" s="91">
        <v>0</v>
      </c>
      <c r="M31" s="91">
        <f t="shared" si="3"/>
        <v>11089.85</v>
      </c>
      <c r="N31" s="91">
        <f>SUM(480+1083.36)</f>
        <v>1563.36</v>
      </c>
      <c r="O31" s="91">
        <v>2230.7600000000002</v>
      </c>
      <c r="P31" s="91">
        <v>1430.64</v>
      </c>
      <c r="Q31" s="91">
        <f t="shared" si="2"/>
        <v>16314.61</v>
      </c>
      <c r="R31" s="91"/>
      <c r="S31" s="91"/>
      <c r="T31" s="91"/>
    </row>
    <row r="32" spans="1:20" x14ac:dyDescent="0.25">
      <c r="A32" s="93" t="s">
        <v>218</v>
      </c>
      <c r="B32" s="90">
        <v>105</v>
      </c>
      <c r="C32" s="91">
        <v>11463.72</v>
      </c>
      <c r="D32" s="91">
        <v>12895.65</v>
      </c>
      <c r="E32" s="91">
        <v>44777.37</v>
      </c>
      <c r="F32" s="91">
        <v>6013.8</v>
      </c>
      <c r="G32" s="91">
        <v>3758.63</v>
      </c>
      <c r="H32" s="91">
        <v>807.18</v>
      </c>
      <c r="I32" s="91">
        <v>0</v>
      </c>
      <c r="J32" s="91">
        <v>0</v>
      </c>
      <c r="K32" s="91">
        <v>1318.12</v>
      </c>
      <c r="L32" s="91">
        <v>205.55</v>
      </c>
      <c r="M32" s="91">
        <f t="shared" si="3"/>
        <v>81240.02</v>
      </c>
      <c r="N32" s="91">
        <v>9680.8700000000008</v>
      </c>
      <c r="O32" s="91">
        <v>16206.02</v>
      </c>
      <c r="P32" s="91">
        <f>SUM(2100+9153.02)</f>
        <v>11253.02</v>
      </c>
      <c r="Q32" s="91">
        <f t="shared" si="2"/>
        <v>118379.93000000001</v>
      </c>
      <c r="R32" s="91"/>
      <c r="S32" s="91"/>
      <c r="T32" s="91"/>
    </row>
    <row r="33" spans="1:20" x14ac:dyDescent="0.25">
      <c r="A33" s="89" t="s">
        <v>219</v>
      </c>
      <c r="B33" s="90">
        <v>27</v>
      </c>
      <c r="C33" s="91">
        <v>2087.14</v>
      </c>
      <c r="D33" s="91">
        <v>2377.98</v>
      </c>
      <c r="E33" s="91">
        <v>7595.8</v>
      </c>
      <c r="F33" s="91">
        <v>1253.53</v>
      </c>
      <c r="G33" s="91">
        <v>342.15</v>
      </c>
      <c r="H33" s="91">
        <v>299.47000000000003</v>
      </c>
      <c r="I33" s="91">
        <v>0</v>
      </c>
      <c r="J33" s="91">
        <v>1351.52</v>
      </c>
      <c r="K33" s="91">
        <f>SUM(205.65+29.38+205.65+29.38+235.03+29.38)</f>
        <v>734.47</v>
      </c>
      <c r="L33" s="91">
        <v>0</v>
      </c>
      <c r="M33" s="91">
        <f t="shared" si="3"/>
        <v>16042.06</v>
      </c>
      <c r="N33" s="91">
        <f>SUM(1501.59+584.52)</f>
        <v>2086.1099999999997</v>
      </c>
      <c r="O33" s="91">
        <f>SUM(3208.42+27)</f>
        <v>3235.42</v>
      </c>
      <c r="P33" s="91">
        <f>SUM(1604.21+270)</f>
        <v>1874.21</v>
      </c>
      <c r="Q33" s="91">
        <f t="shared" si="2"/>
        <v>23237.799999999996</v>
      </c>
      <c r="R33" s="91"/>
      <c r="S33" s="91"/>
      <c r="T33" s="91"/>
    </row>
    <row r="34" spans="1:20" x14ac:dyDescent="0.25">
      <c r="A34" s="92" t="s">
        <v>220</v>
      </c>
      <c r="B34" s="90">
        <v>8</v>
      </c>
      <c r="C34" s="91">
        <v>220.39</v>
      </c>
      <c r="D34" s="91">
        <v>250.2</v>
      </c>
      <c r="E34" s="91">
        <v>771.15</v>
      </c>
      <c r="F34" s="91">
        <v>0</v>
      </c>
      <c r="G34" s="91">
        <v>124.38</v>
      </c>
      <c r="H34" s="91">
        <v>128.96</v>
      </c>
      <c r="I34" s="91">
        <v>105.25</v>
      </c>
      <c r="J34" s="91">
        <v>179.46</v>
      </c>
      <c r="K34" s="91">
        <v>8.32</v>
      </c>
      <c r="L34" s="91">
        <v>0</v>
      </c>
      <c r="M34" s="91">
        <f t="shared" si="3"/>
        <v>1788.11</v>
      </c>
      <c r="N34" s="91">
        <v>194.93</v>
      </c>
      <c r="O34" s="91">
        <v>285.94</v>
      </c>
      <c r="P34" s="91">
        <v>364.98</v>
      </c>
      <c r="Q34" s="91">
        <f t="shared" si="2"/>
        <v>2633.96</v>
      </c>
      <c r="R34" s="91"/>
      <c r="S34" s="91"/>
      <c r="T34" s="91"/>
    </row>
    <row r="35" spans="1:20" x14ac:dyDescent="0.25">
      <c r="A35" s="89" t="s">
        <v>221</v>
      </c>
      <c r="B35" s="90">
        <v>35</v>
      </c>
      <c r="C35" s="91">
        <v>2265.77</v>
      </c>
      <c r="D35" s="91">
        <v>1827.89</v>
      </c>
      <c r="E35" s="91">
        <v>9583</v>
      </c>
      <c r="F35" s="91">
        <v>2377.16</v>
      </c>
      <c r="G35" s="91">
        <v>1485.74</v>
      </c>
      <c r="H35" s="91">
        <v>1262.8499999999999</v>
      </c>
      <c r="I35" s="91">
        <v>278.56</v>
      </c>
      <c r="J35" s="91">
        <v>1857.18</v>
      </c>
      <c r="K35" s="91">
        <v>18.87</v>
      </c>
      <c r="L35" s="91">
        <v>73.239999999999995</v>
      </c>
      <c r="M35" s="91">
        <f t="shared" si="3"/>
        <v>21030.260000000002</v>
      </c>
      <c r="N35" s="91">
        <v>2761.89</v>
      </c>
      <c r="O35" s="91">
        <v>4241.0600000000004</v>
      </c>
      <c r="P35" s="91">
        <f>SUM(2085.53+525)</f>
        <v>2610.5300000000002</v>
      </c>
      <c r="Q35" s="91">
        <f t="shared" si="2"/>
        <v>30643.74</v>
      </c>
      <c r="R35" s="91"/>
      <c r="S35" s="91"/>
      <c r="T35" s="91"/>
    </row>
    <row r="36" spans="1:20" x14ac:dyDescent="0.25">
      <c r="A36" s="89" t="s">
        <v>222</v>
      </c>
      <c r="B36" s="90">
        <v>241</v>
      </c>
      <c r="C36" s="94">
        <v>46032.04</v>
      </c>
      <c r="D36" s="94">
        <v>40789.58</v>
      </c>
      <c r="E36" s="94">
        <v>282983.3</v>
      </c>
      <c r="F36" s="91">
        <v>0</v>
      </c>
      <c r="G36" s="94">
        <v>10564.63</v>
      </c>
      <c r="H36" s="94">
        <v>1320.88</v>
      </c>
      <c r="I36" s="95">
        <v>226.37</v>
      </c>
      <c r="J36" s="91">
        <v>0</v>
      </c>
      <c r="K36" s="91">
        <v>0</v>
      </c>
      <c r="L36" s="94">
        <v>79560.509999999995</v>
      </c>
      <c r="M36" s="91">
        <f t="shared" si="3"/>
        <v>461477.31</v>
      </c>
      <c r="N36" s="91">
        <v>51804.59</v>
      </c>
      <c r="O36" s="91">
        <v>90753.03</v>
      </c>
      <c r="P36" s="91">
        <v>48750.75</v>
      </c>
      <c r="Q36" s="91">
        <f t="shared" si="2"/>
        <v>652785.68000000005</v>
      </c>
      <c r="R36" s="91"/>
      <c r="S36" s="91"/>
      <c r="T36" s="91"/>
    </row>
    <row r="37" spans="1:20" x14ac:dyDescent="0.25">
      <c r="A37" s="89" t="s">
        <v>223</v>
      </c>
      <c r="B37" s="90">
        <v>19</v>
      </c>
      <c r="C37" s="91">
        <v>1427.87</v>
      </c>
      <c r="D37" s="91">
        <v>2062.63</v>
      </c>
      <c r="E37" s="91">
        <v>5173.1000000000004</v>
      </c>
      <c r="F37" s="91">
        <v>1029.93</v>
      </c>
      <c r="G37" s="91">
        <v>585.19000000000005</v>
      </c>
      <c r="H37" s="91">
        <v>531.92999999999995</v>
      </c>
      <c r="I37" s="91">
        <v>175.54</v>
      </c>
      <c r="J37" s="91">
        <v>526.69000000000005</v>
      </c>
      <c r="K37" s="91">
        <v>3.66</v>
      </c>
      <c r="L37" s="91">
        <v>30.06</v>
      </c>
      <c r="M37" s="91">
        <f t="shared" si="3"/>
        <v>11546.600000000002</v>
      </c>
      <c r="N37" s="91">
        <v>1483.44</v>
      </c>
      <c r="O37" s="91">
        <v>2309.31</v>
      </c>
      <c r="P37" s="91">
        <v>1420.68</v>
      </c>
      <c r="Q37" s="91">
        <f t="shared" si="2"/>
        <v>16760.030000000002</v>
      </c>
      <c r="R37" s="91"/>
      <c r="S37" s="91"/>
      <c r="T37" s="91"/>
    </row>
    <row r="38" spans="1:20" x14ac:dyDescent="0.25">
      <c r="A38" s="89" t="s">
        <v>224</v>
      </c>
      <c r="B38" s="90">
        <v>51</v>
      </c>
      <c r="C38" s="91">
        <v>7822.84</v>
      </c>
      <c r="D38" s="91">
        <f>SUM(7758.64+510)</f>
        <v>8268.64</v>
      </c>
      <c r="E38" s="91">
        <v>44372.03</v>
      </c>
      <c r="F38" s="91">
        <v>3975.55</v>
      </c>
      <c r="G38" s="91">
        <v>3847.28</v>
      </c>
      <c r="H38" s="91">
        <v>2120.5500000000002</v>
      </c>
      <c r="I38" s="91">
        <v>1090.08</v>
      </c>
      <c r="J38" s="91">
        <v>0</v>
      </c>
      <c r="K38" s="91">
        <f>SUM(12.94+3785.71)</f>
        <v>3798.65</v>
      </c>
      <c r="L38" s="91">
        <v>0</v>
      </c>
      <c r="M38" s="91">
        <f t="shared" si="3"/>
        <v>75295.62</v>
      </c>
      <c r="N38" s="91">
        <f>SUM(6931.5+1906.55)</f>
        <v>8838.0499999999993</v>
      </c>
      <c r="O38" s="91">
        <f>SUM(14957.11+102)</f>
        <v>15059.11</v>
      </c>
      <c r="P38" s="91">
        <f>SUM(7478.56+255+1428+510)</f>
        <v>9671.5600000000013</v>
      </c>
      <c r="Q38" s="91">
        <f t="shared" si="2"/>
        <v>108864.34</v>
      </c>
      <c r="R38" s="91"/>
      <c r="S38" s="91"/>
      <c r="T38" s="91"/>
    </row>
    <row r="39" spans="1:20" x14ac:dyDescent="0.25">
      <c r="A39" s="89" t="s">
        <v>225</v>
      </c>
      <c r="B39" s="90">
        <v>93</v>
      </c>
      <c r="C39" s="91">
        <v>16103.13</v>
      </c>
      <c r="D39" s="91">
        <v>24487.68</v>
      </c>
      <c r="E39" s="91">
        <v>83341.679999999993</v>
      </c>
      <c r="F39" s="91">
        <v>11087.42</v>
      </c>
      <c r="G39" s="91">
        <v>7589.53</v>
      </c>
      <c r="H39" s="91">
        <v>0</v>
      </c>
      <c r="I39" s="91">
        <v>1187.96</v>
      </c>
      <c r="J39" s="91">
        <v>0</v>
      </c>
      <c r="K39" s="91">
        <v>0</v>
      </c>
      <c r="L39" s="91">
        <v>1861.14</v>
      </c>
      <c r="M39" s="91">
        <f t="shared" si="3"/>
        <v>145658.54</v>
      </c>
      <c r="N39" s="91">
        <v>18001.72</v>
      </c>
      <c r="O39" s="91">
        <v>29224.7</v>
      </c>
      <c r="P39" s="91">
        <f>SUM(1395+14519.36)</f>
        <v>15914.36</v>
      </c>
      <c r="Q39" s="91">
        <f t="shared" si="2"/>
        <v>208799.32</v>
      </c>
      <c r="R39" s="91"/>
      <c r="S39" s="91"/>
      <c r="T39" s="91"/>
    </row>
    <row r="40" spans="1:20" x14ac:dyDescent="0.25">
      <c r="A40" s="89" t="s">
        <v>226</v>
      </c>
      <c r="B40" s="90">
        <v>38</v>
      </c>
      <c r="C40" s="91">
        <v>1449.67</v>
      </c>
      <c r="D40" s="91">
        <v>1830.12</v>
      </c>
      <c r="E40" s="91">
        <f>SUM(3006.61+4254.4)</f>
        <v>7261.01</v>
      </c>
      <c r="F40" s="91">
        <v>998.03</v>
      </c>
      <c r="G40" s="91">
        <v>475.3</v>
      </c>
      <c r="H40" s="91">
        <v>702.57</v>
      </c>
      <c r="I40" s="91">
        <v>320.81</v>
      </c>
      <c r="J40" s="91">
        <v>0</v>
      </c>
      <c r="K40" s="91">
        <v>0</v>
      </c>
      <c r="L40" s="91">
        <f>SUM(225.81+32.04)</f>
        <v>257.85000000000002</v>
      </c>
      <c r="M40" s="91">
        <f t="shared" si="3"/>
        <v>13295.359999999999</v>
      </c>
      <c r="N40" s="91">
        <v>1688.41</v>
      </c>
      <c r="O40" s="91">
        <v>2704.87</v>
      </c>
      <c r="P40" s="91">
        <v>1771.45</v>
      </c>
      <c r="Q40" s="91">
        <f t="shared" si="2"/>
        <v>19460.09</v>
      </c>
      <c r="R40" s="91"/>
      <c r="S40" s="91"/>
      <c r="T40" s="91"/>
    </row>
    <row r="41" spans="1:20" x14ac:dyDescent="0.25">
      <c r="A41" s="89" t="s">
        <v>227</v>
      </c>
      <c r="B41" s="90">
        <v>122</v>
      </c>
      <c r="C41" s="91">
        <v>3293.7</v>
      </c>
      <c r="D41" s="91">
        <v>2530.79</v>
      </c>
      <c r="E41" s="91">
        <v>18034.400000000001</v>
      </c>
      <c r="F41" s="91">
        <v>3212.72</v>
      </c>
      <c r="G41" s="91">
        <v>1484.9</v>
      </c>
      <c r="H41" s="91">
        <v>1553.16</v>
      </c>
      <c r="I41" s="91">
        <v>242.98</v>
      </c>
      <c r="J41" s="91">
        <v>0</v>
      </c>
      <c r="K41" s="91">
        <v>1.21</v>
      </c>
      <c r="L41" s="91">
        <v>1596.71</v>
      </c>
      <c r="M41" s="91">
        <f t="shared" si="3"/>
        <v>31950.57</v>
      </c>
      <c r="N41" s="91">
        <v>4290.63</v>
      </c>
      <c r="O41" s="91">
        <v>6396.53</v>
      </c>
      <c r="P41" s="91">
        <v>3342.34</v>
      </c>
      <c r="Q41" s="91">
        <f t="shared" si="2"/>
        <v>45980.069999999992</v>
      </c>
      <c r="R41" s="91"/>
      <c r="S41" s="91"/>
      <c r="T41" s="91"/>
    </row>
    <row r="42" spans="1:20" x14ac:dyDescent="0.25">
      <c r="A42" s="89" t="s">
        <v>228</v>
      </c>
      <c r="B42" s="90">
        <v>34</v>
      </c>
      <c r="C42" s="91">
        <v>3937.3</v>
      </c>
      <c r="D42" s="91">
        <v>3068.61</v>
      </c>
      <c r="E42" s="91">
        <v>21784.22</v>
      </c>
      <c r="F42" s="91">
        <v>2162.3000000000002</v>
      </c>
      <c r="G42" s="91">
        <v>1290.9100000000001</v>
      </c>
      <c r="H42" s="91">
        <v>1323.15</v>
      </c>
      <c r="I42" s="91">
        <v>209.08</v>
      </c>
      <c r="J42" s="91">
        <v>0</v>
      </c>
      <c r="K42" s="91">
        <v>1652.64</v>
      </c>
      <c r="L42" s="91">
        <v>1933.25</v>
      </c>
      <c r="M42" s="91">
        <f t="shared" si="3"/>
        <v>37361.46</v>
      </c>
      <c r="N42" s="91">
        <v>4480.58</v>
      </c>
      <c r="O42" s="91">
        <v>7590.41</v>
      </c>
      <c r="P42" s="91">
        <v>4315.2299999999996</v>
      </c>
      <c r="Q42" s="91">
        <f t="shared" si="2"/>
        <v>53747.679999999993</v>
      </c>
      <c r="R42" s="91"/>
      <c r="S42" s="91"/>
      <c r="T42" s="91"/>
    </row>
    <row r="43" spans="1:20" x14ac:dyDescent="0.25">
      <c r="A43" s="89" t="s">
        <v>229</v>
      </c>
      <c r="B43" s="90">
        <v>63</v>
      </c>
      <c r="C43" s="91">
        <v>5870.61</v>
      </c>
      <c r="D43" s="91">
        <v>7211</v>
      </c>
      <c r="E43" s="91">
        <v>29818.81</v>
      </c>
      <c r="F43" s="91">
        <v>4715.74</v>
      </c>
      <c r="G43" s="91">
        <v>1347.35</v>
      </c>
      <c r="H43" s="91">
        <v>3023.91</v>
      </c>
      <c r="I43" s="91">
        <v>481.2</v>
      </c>
      <c r="J43" s="91">
        <v>0</v>
      </c>
      <c r="K43" s="91">
        <f>SUM(9.55+1569.12)</f>
        <v>1578.6699999999998</v>
      </c>
      <c r="L43" s="91">
        <v>769.88</v>
      </c>
      <c r="M43" s="91">
        <f t="shared" si="3"/>
        <v>54817.169999999991</v>
      </c>
      <c r="N43" s="91">
        <v>6848.04</v>
      </c>
      <c r="O43" s="91">
        <v>11013.82</v>
      </c>
      <c r="P43" s="91">
        <f>SUM(5443.92+945)</f>
        <v>6388.92</v>
      </c>
      <c r="Q43" s="91">
        <f t="shared" si="2"/>
        <v>79067.95</v>
      </c>
      <c r="R43" s="91"/>
      <c r="S43" s="91"/>
      <c r="T43" s="91"/>
    </row>
    <row r="44" spans="1:20" x14ac:dyDescent="0.25">
      <c r="A44" s="89" t="s">
        <v>230</v>
      </c>
      <c r="B44" s="90">
        <v>97</v>
      </c>
      <c r="C44" s="91">
        <v>9065.7000000000007</v>
      </c>
      <c r="D44" s="91">
        <v>7715.63</v>
      </c>
      <c r="E44" s="91">
        <v>22235.200000000001</v>
      </c>
      <c r="F44" s="91">
        <v>4087.01</v>
      </c>
      <c r="G44" s="91">
        <v>2600.83</v>
      </c>
      <c r="H44" s="91">
        <v>2972.35</v>
      </c>
      <c r="I44" s="91">
        <v>0</v>
      </c>
      <c r="J44" s="91">
        <v>0</v>
      </c>
      <c r="K44" s="91">
        <f>SUM(705.99+6.46+2070.03)</f>
        <v>2782.4800000000005</v>
      </c>
      <c r="L44" s="91">
        <f>SUM(1560.46+46.23+186.43+206.57)</f>
        <v>1999.69</v>
      </c>
      <c r="M44" s="91">
        <f t="shared" si="3"/>
        <v>53458.890000000007</v>
      </c>
      <c r="N44" s="91">
        <v>6914.52</v>
      </c>
      <c r="O44" s="91">
        <v>10769.38</v>
      </c>
      <c r="P44" s="91">
        <f>SUM(5287.7+1455)</f>
        <v>6742.7</v>
      </c>
      <c r="Q44" s="91">
        <f>SUM(M44:P44)</f>
        <v>77885.490000000005</v>
      </c>
      <c r="R44" s="91"/>
      <c r="S44" s="91"/>
      <c r="T44" s="91"/>
    </row>
    <row r="45" spans="1:20" x14ac:dyDescent="0.25">
      <c r="A45" s="89" t="s">
        <v>231</v>
      </c>
      <c r="B45" s="90">
        <v>74</v>
      </c>
      <c r="C45" s="91">
        <v>5269.53</v>
      </c>
      <c r="D45" s="91">
        <f>SUM(2980.37+222)</f>
        <v>3202.37</v>
      </c>
      <c r="E45" s="91">
        <v>22071.5</v>
      </c>
      <c r="F45" s="91">
        <v>4362.5200000000004</v>
      </c>
      <c r="G45" s="91">
        <f>SUM(1122.98+1943.74)</f>
        <v>3066.7200000000003</v>
      </c>
      <c r="H45" s="91">
        <v>1877.16</v>
      </c>
      <c r="I45" s="91">
        <v>0</v>
      </c>
      <c r="J45" s="91">
        <v>0</v>
      </c>
      <c r="K45" s="91">
        <f>SUM(266.8+279.05+465.09+139.53+651.12+279.05+232.54+697.63)</f>
        <v>3010.8100000000004</v>
      </c>
      <c r="L45" s="91">
        <v>7.49</v>
      </c>
      <c r="M45" s="91">
        <f>SUM(C45:L45)</f>
        <v>42868.1</v>
      </c>
      <c r="N45" s="91">
        <f>SUM(4034.53+1630.05)</f>
        <v>5664.58</v>
      </c>
      <c r="O45" s="91">
        <f>SUM(8529.22+148)</f>
        <v>8677.2199999999993</v>
      </c>
      <c r="P45" s="91">
        <f>SUM(4264.63+370+740)</f>
        <v>5374.63</v>
      </c>
      <c r="Q45" s="91">
        <f>SUM(M45:P45)</f>
        <v>62584.53</v>
      </c>
      <c r="R45" s="91"/>
      <c r="S45" s="91"/>
      <c r="T45" s="91"/>
    </row>
    <row r="46" spans="1:20" x14ac:dyDescent="0.25">
      <c r="A46" s="92" t="s">
        <v>232</v>
      </c>
      <c r="B46" s="90">
        <v>24</v>
      </c>
      <c r="C46" s="91">
        <v>925.39</v>
      </c>
      <c r="D46" s="91">
        <v>909.88</v>
      </c>
      <c r="E46" s="91">
        <v>3939.59</v>
      </c>
      <c r="F46" s="91">
        <v>629.58000000000004</v>
      </c>
      <c r="G46" s="91">
        <v>257.92</v>
      </c>
      <c r="H46" s="91">
        <v>401.3</v>
      </c>
      <c r="I46" s="91">
        <v>0</v>
      </c>
      <c r="J46" s="91">
        <v>751.29</v>
      </c>
      <c r="K46" s="91">
        <v>4.13</v>
      </c>
      <c r="L46" s="91">
        <v>0</v>
      </c>
      <c r="M46" s="91">
        <f t="shared" si="3"/>
        <v>7819.0800000000008</v>
      </c>
      <c r="N46" s="91">
        <v>1015.34</v>
      </c>
      <c r="O46" s="91">
        <v>1587.8</v>
      </c>
      <c r="P46" s="91">
        <f>SUM(429+769.92)</f>
        <v>1198.92</v>
      </c>
      <c r="Q46" s="91">
        <f t="shared" si="2"/>
        <v>11621.14</v>
      </c>
      <c r="R46" s="91"/>
      <c r="S46" s="91"/>
      <c r="T46" s="91"/>
    </row>
    <row r="47" spans="1:20" x14ac:dyDescent="0.25">
      <c r="A47" s="89" t="s">
        <v>233</v>
      </c>
      <c r="B47" s="90">
        <v>171</v>
      </c>
      <c r="C47" s="91">
        <v>16857.310000000001</v>
      </c>
      <c r="D47" s="91">
        <v>46063.92</v>
      </c>
      <c r="E47" s="91">
        <v>117167.26</v>
      </c>
      <c r="F47" s="91">
        <v>12297.57</v>
      </c>
      <c r="G47" s="91">
        <v>8290.5</v>
      </c>
      <c r="H47" s="91">
        <v>3091.04</v>
      </c>
      <c r="I47" s="91">
        <v>0</v>
      </c>
      <c r="J47" s="91">
        <v>8169</v>
      </c>
      <c r="K47" s="91">
        <f>SUM(6103.55+25.71)</f>
        <v>6129.26</v>
      </c>
      <c r="L47" s="91">
        <v>3108.67</v>
      </c>
      <c r="M47" s="91">
        <f t="shared" si="3"/>
        <v>221174.53000000003</v>
      </c>
      <c r="N47" s="91">
        <f>SUM(21946.48+2565)</f>
        <v>24511.48</v>
      </c>
      <c r="O47" s="91">
        <v>44235.05</v>
      </c>
      <c r="P47" s="91">
        <v>27412.28</v>
      </c>
      <c r="Q47" s="91">
        <f t="shared" si="2"/>
        <v>317333.34000000008</v>
      </c>
      <c r="R47" s="91"/>
      <c r="S47" s="91"/>
      <c r="T47" s="91"/>
    </row>
    <row r="48" spans="1:20" x14ac:dyDescent="0.25">
      <c r="A48" s="89" t="s">
        <v>234</v>
      </c>
      <c r="B48" s="90">
        <v>12</v>
      </c>
      <c r="C48" s="91">
        <v>1331.27</v>
      </c>
      <c r="D48" s="91">
        <v>899.07</v>
      </c>
      <c r="E48" s="91">
        <v>6972.76</v>
      </c>
      <c r="F48" s="91">
        <v>1265.79</v>
      </c>
      <c r="G48" s="91">
        <v>463.76</v>
      </c>
      <c r="H48" s="91">
        <v>0</v>
      </c>
      <c r="I48" s="91">
        <v>0</v>
      </c>
      <c r="J48" s="91">
        <v>0</v>
      </c>
      <c r="K48" s="91">
        <v>1.9</v>
      </c>
      <c r="L48" s="91">
        <v>0</v>
      </c>
      <c r="M48" s="91">
        <f t="shared" si="3"/>
        <v>10934.55</v>
      </c>
      <c r="N48" s="91">
        <v>1241.6099999999999</v>
      </c>
      <c r="O48" s="91">
        <f>SUM(180+1064.65)</f>
        <v>1244.6500000000001</v>
      </c>
      <c r="P48" s="91">
        <v>2129.3200000000002</v>
      </c>
      <c r="Q48" s="91">
        <f t="shared" si="2"/>
        <v>15550.13</v>
      </c>
      <c r="R48" s="91"/>
      <c r="S48" s="91"/>
      <c r="T48" s="91"/>
    </row>
    <row r="49" spans="1:20" x14ac:dyDescent="0.25">
      <c r="A49" s="89" t="s">
        <v>235</v>
      </c>
      <c r="B49" s="90">
        <v>216</v>
      </c>
      <c r="C49" s="91">
        <v>21763.38</v>
      </c>
      <c r="D49" s="91">
        <v>23345.39</v>
      </c>
      <c r="E49" s="91">
        <f>SUM(100070.93+12710.24+3836.09)</f>
        <v>116617.26</v>
      </c>
      <c r="F49" s="91">
        <v>0</v>
      </c>
      <c r="G49" s="91">
        <v>3924.59</v>
      </c>
      <c r="H49" s="91">
        <v>2625.9</v>
      </c>
      <c r="I49" s="91">
        <v>0</v>
      </c>
      <c r="J49" s="91">
        <v>0</v>
      </c>
      <c r="K49" s="91">
        <f>SUM(1025+445+205+105+175+260+115+325+320+230+55)</f>
        <v>3260</v>
      </c>
      <c r="L49" s="91">
        <f>SUM(80.24+431.44+1221.13)</f>
        <v>1732.8100000000002</v>
      </c>
      <c r="M49" s="91">
        <f t="shared" si="3"/>
        <v>173269.33</v>
      </c>
      <c r="N49" s="91">
        <f>SUM(15856.38+3705.78)</f>
        <v>19562.16</v>
      </c>
      <c r="O49" s="91">
        <v>34610.639999999999</v>
      </c>
      <c r="P49" s="91">
        <v>20329.37</v>
      </c>
      <c r="Q49" s="91">
        <f t="shared" si="2"/>
        <v>247771.5</v>
      </c>
      <c r="R49" s="91"/>
      <c r="S49" s="91"/>
      <c r="T49" s="91"/>
    </row>
    <row r="50" spans="1:20" x14ac:dyDescent="0.25">
      <c r="A50" s="89" t="s">
        <v>236</v>
      </c>
      <c r="B50" s="90">
        <v>91</v>
      </c>
      <c r="C50" s="91">
        <v>7284.22</v>
      </c>
      <c r="D50" s="91">
        <v>24787.34</v>
      </c>
      <c r="E50" s="91">
        <v>22799.75</v>
      </c>
      <c r="F50" s="91">
        <v>5970.67</v>
      </c>
      <c r="G50" s="91">
        <v>3283.94</v>
      </c>
      <c r="H50" s="91">
        <v>5373.61</v>
      </c>
      <c r="I50" s="91">
        <v>895.66</v>
      </c>
      <c r="J50" s="91">
        <v>0</v>
      </c>
      <c r="K50" s="91">
        <v>9.07</v>
      </c>
      <c r="L50" s="91">
        <f>SUM(2103.76+2402.95)</f>
        <v>4506.71</v>
      </c>
      <c r="M50" s="91">
        <f t="shared" si="3"/>
        <v>74910.970000000016</v>
      </c>
      <c r="N50" s="91">
        <v>10154.1</v>
      </c>
      <c r="O50" s="91">
        <v>15164.15</v>
      </c>
      <c r="P50" s="91">
        <v>9584.14</v>
      </c>
      <c r="Q50" s="91">
        <f t="shared" si="2"/>
        <v>109813.36000000002</v>
      </c>
      <c r="R50" s="91"/>
      <c r="S50" s="91"/>
      <c r="T50" s="91"/>
    </row>
    <row r="51" spans="1:20" x14ac:dyDescent="0.25">
      <c r="A51" s="89" t="s">
        <v>237</v>
      </c>
      <c r="B51" s="90">
        <v>29</v>
      </c>
      <c r="C51" s="91">
        <v>2655.37</v>
      </c>
      <c r="D51" s="91">
        <v>2481.04</v>
      </c>
      <c r="E51" s="91">
        <v>10991.55</v>
      </c>
      <c r="F51" s="91">
        <v>1523.58</v>
      </c>
      <c r="G51" s="91">
        <v>979.44</v>
      </c>
      <c r="H51" s="91">
        <v>1088.3</v>
      </c>
      <c r="I51" s="91">
        <v>239.44</v>
      </c>
      <c r="J51" s="91">
        <v>0</v>
      </c>
      <c r="K51" s="96">
        <v>860.96</v>
      </c>
      <c r="L51" s="91">
        <v>0</v>
      </c>
      <c r="M51" s="91">
        <f t="shared" si="3"/>
        <v>20819.679999999997</v>
      </c>
      <c r="N51" s="91">
        <v>2564.1999999999998</v>
      </c>
      <c r="O51" s="96">
        <v>4169.74</v>
      </c>
      <c r="P51" s="91">
        <v>2490.92</v>
      </c>
      <c r="Q51" s="91">
        <f>SUM(M51:P51)</f>
        <v>30044.539999999994</v>
      </c>
      <c r="R51" s="91"/>
      <c r="S51" s="91"/>
      <c r="T51" s="91"/>
    </row>
    <row r="52" spans="1:20" x14ac:dyDescent="0.25">
      <c r="A52" s="89" t="s">
        <v>238</v>
      </c>
      <c r="B52" s="90">
        <v>42</v>
      </c>
      <c r="C52" s="91">
        <v>5016.13</v>
      </c>
      <c r="D52" s="91">
        <v>4778.3</v>
      </c>
      <c r="E52" s="91">
        <v>27130.959999999999</v>
      </c>
      <c r="F52" s="91">
        <v>3618.23</v>
      </c>
      <c r="G52" s="91">
        <v>0</v>
      </c>
      <c r="H52" s="91">
        <v>0</v>
      </c>
      <c r="I52" s="91">
        <v>0</v>
      </c>
      <c r="J52" s="91">
        <v>3042.58</v>
      </c>
      <c r="K52" s="91">
        <f>SUM(4.09+1098.47)</f>
        <v>1102.56</v>
      </c>
      <c r="L52" s="91">
        <v>0</v>
      </c>
      <c r="M52" s="91">
        <f t="shared" si="3"/>
        <v>44688.76</v>
      </c>
      <c r="N52" s="91">
        <v>5639.36</v>
      </c>
      <c r="O52" s="91">
        <v>8853.76</v>
      </c>
      <c r="P52" s="91">
        <f>SUM(4426.88+630)</f>
        <v>5056.88</v>
      </c>
      <c r="Q52" s="91">
        <f t="shared" ref="Q52:Q115" si="4">SUM(M52:P52)</f>
        <v>64238.76</v>
      </c>
      <c r="R52" s="91"/>
      <c r="S52" s="91"/>
      <c r="T52" s="91"/>
    </row>
    <row r="53" spans="1:20" x14ac:dyDescent="0.25">
      <c r="A53" s="89" t="s">
        <v>239</v>
      </c>
      <c r="B53" s="90">
        <v>83</v>
      </c>
      <c r="C53">
        <v>7484.97</v>
      </c>
      <c r="D53">
        <v>7861.91</v>
      </c>
      <c r="E53">
        <v>37652.36</v>
      </c>
      <c r="F53">
        <v>5978.11</v>
      </c>
      <c r="G53">
        <v>3088.47</v>
      </c>
      <c r="H53">
        <v>2013.17</v>
      </c>
      <c r="I53" s="91">
        <v>0</v>
      </c>
      <c r="J53" s="91">
        <v>0</v>
      </c>
      <c r="K53">
        <v>449.26</v>
      </c>
      <c r="L53" s="91">
        <v>0</v>
      </c>
      <c r="M53" s="91">
        <f t="shared" si="3"/>
        <v>64528.250000000007</v>
      </c>
      <c r="N53" s="91">
        <v>8058.81</v>
      </c>
      <c r="O53" s="91">
        <v>11910.78</v>
      </c>
      <c r="P53" s="91">
        <v>9876.4699999999993</v>
      </c>
      <c r="Q53" s="91">
        <f t="shared" si="4"/>
        <v>94374.310000000012</v>
      </c>
      <c r="R53" s="91"/>
      <c r="S53" s="91"/>
      <c r="T53" s="91"/>
    </row>
    <row r="54" spans="1:20" x14ac:dyDescent="0.25">
      <c r="A54" s="89" t="s">
        <v>240</v>
      </c>
      <c r="B54" s="90">
        <v>40</v>
      </c>
      <c r="C54" s="91">
        <v>3178.74</v>
      </c>
      <c r="D54" s="91">
        <v>3488.48</v>
      </c>
      <c r="E54" s="91">
        <v>19501.37</v>
      </c>
      <c r="F54" s="91">
        <v>2579.4899999999998</v>
      </c>
      <c r="G54" s="91">
        <v>1042.21</v>
      </c>
      <c r="H54" s="91">
        <v>1224.58</v>
      </c>
      <c r="I54" s="91">
        <v>187.57</v>
      </c>
      <c r="J54" s="91">
        <v>0</v>
      </c>
      <c r="K54" s="91">
        <f>SUM(3.22+1046.4)</f>
        <v>1049.6200000000001</v>
      </c>
      <c r="L54" s="91">
        <f>SUM(53.52+50.64)</f>
        <v>104.16</v>
      </c>
      <c r="M54" s="91">
        <f t="shared" si="3"/>
        <v>32356.219999999994</v>
      </c>
      <c r="N54" s="91">
        <v>4085.04</v>
      </c>
      <c r="O54" s="91">
        <v>6463.23</v>
      </c>
      <c r="P54" s="91">
        <f>SUM(3191.64+400)</f>
        <v>3591.64</v>
      </c>
      <c r="Q54" s="91">
        <f t="shared" si="4"/>
        <v>46496.12999999999</v>
      </c>
      <c r="R54" s="91"/>
      <c r="S54" s="91"/>
      <c r="T54" s="91"/>
    </row>
    <row r="55" spans="1:20" x14ac:dyDescent="0.25">
      <c r="A55" s="89" t="s">
        <v>241</v>
      </c>
      <c r="B55" s="90">
        <v>3</v>
      </c>
      <c r="C55" s="91">
        <v>114.33</v>
      </c>
      <c r="D55" s="91">
        <v>174.52</v>
      </c>
      <c r="E55" s="91">
        <v>538.87</v>
      </c>
      <c r="F55" s="91">
        <v>0</v>
      </c>
      <c r="G55" s="91">
        <v>29.99</v>
      </c>
      <c r="H55" s="91">
        <v>52.02</v>
      </c>
      <c r="I55" s="91">
        <v>12.17</v>
      </c>
      <c r="J55" s="91">
        <v>0</v>
      </c>
      <c r="K55" s="91">
        <v>0.63</v>
      </c>
      <c r="L55" s="91">
        <v>0</v>
      </c>
      <c r="M55" s="91">
        <f t="shared" si="3"/>
        <v>922.53</v>
      </c>
      <c r="N55" s="91">
        <v>118.65</v>
      </c>
      <c r="O55" s="91">
        <v>183.9</v>
      </c>
      <c r="P55" s="91">
        <f>SUM(45+88.96)</f>
        <v>133.95999999999998</v>
      </c>
      <c r="Q55" s="91">
        <f t="shared" si="4"/>
        <v>1359.0400000000002</v>
      </c>
      <c r="R55" s="91"/>
      <c r="S55" s="91"/>
      <c r="T55" s="91"/>
    </row>
    <row r="56" spans="1:20" x14ac:dyDescent="0.25">
      <c r="A56" s="89" t="s">
        <v>242</v>
      </c>
      <c r="B56" s="90">
        <v>74</v>
      </c>
      <c r="C56" s="97">
        <v>8267.5499999999993</v>
      </c>
      <c r="D56" s="97">
        <v>9794.36</v>
      </c>
      <c r="E56" s="97">
        <v>46240.84</v>
      </c>
      <c r="F56" s="91">
        <v>0</v>
      </c>
      <c r="G56" s="97">
        <v>2626.99</v>
      </c>
      <c r="H56" s="97">
        <v>1563.44</v>
      </c>
      <c r="I56" s="91">
        <v>0</v>
      </c>
      <c r="J56" s="91">
        <v>0</v>
      </c>
      <c r="K56" s="91">
        <v>1953.4</v>
      </c>
      <c r="L56" s="91">
        <v>11.39</v>
      </c>
      <c r="M56" s="98">
        <f>SUM(C56:L56)</f>
        <v>70457.97</v>
      </c>
      <c r="N56" s="91">
        <v>8245.1299999999992</v>
      </c>
      <c r="O56" s="91">
        <v>14199.66</v>
      </c>
      <c r="P56" s="91">
        <v>9263.14</v>
      </c>
      <c r="Q56" s="99">
        <f>SUM(M56:P56)</f>
        <v>102165.90000000001</v>
      </c>
      <c r="R56" s="91"/>
      <c r="S56" s="91"/>
      <c r="T56" s="91"/>
    </row>
    <row r="57" spans="1:20" x14ac:dyDescent="0.25">
      <c r="A57" s="89" t="s">
        <v>243</v>
      </c>
      <c r="B57" s="90">
        <v>33</v>
      </c>
      <c r="C57" s="91">
        <v>2244.81</v>
      </c>
      <c r="D57" s="91">
        <v>1434.63</v>
      </c>
      <c r="E57" s="91">
        <v>11316.09</v>
      </c>
      <c r="F57" s="91">
        <v>2244.81</v>
      </c>
      <c r="G57" s="91">
        <v>1380.04</v>
      </c>
      <c r="H57" s="91">
        <v>1391.05</v>
      </c>
      <c r="I57" s="91">
        <v>496.78</v>
      </c>
      <c r="J57" s="91">
        <v>1214.4000000000001</v>
      </c>
      <c r="K57" s="91">
        <v>12.49</v>
      </c>
      <c r="L57" s="91">
        <v>0</v>
      </c>
      <c r="M57" s="91">
        <f t="shared" si="3"/>
        <v>21735.100000000002</v>
      </c>
      <c r="N57" s="91">
        <v>2880.92</v>
      </c>
      <c r="O57" s="91">
        <v>4380.01</v>
      </c>
      <c r="P57" s="91">
        <v>3410.99</v>
      </c>
      <c r="Q57" s="91">
        <f t="shared" si="4"/>
        <v>32407.020000000004</v>
      </c>
      <c r="R57" s="91"/>
      <c r="S57" s="91"/>
      <c r="T57" s="91"/>
    </row>
    <row r="58" spans="1:20" x14ac:dyDescent="0.25">
      <c r="A58" s="93" t="s">
        <v>244</v>
      </c>
      <c r="B58" s="90">
        <v>953</v>
      </c>
      <c r="C58" s="91">
        <v>178176.93</v>
      </c>
      <c r="D58" s="91">
        <f>SUM(180367.77+51462)</f>
        <v>231829.77</v>
      </c>
      <c r="E58" s="91">
        <v>1018217.09</v>
      </c>
      <c r="F58" s="91">
        <v>0</v>
      </c>
      <c r="G58" s="91">
        <v>0</v>
      </c>
      <c r="H58" s="91">
        <v>0</v>
      </c>
      <c r="I58" s="91">
        <v>0</v>
      </c>
      <c r="J58" s="91">
        <v>0</v>
      </c>
      <c r="K58" s="91">
        <f>SUM(106071.99+150402.03)</f>
        <v>256474.02000000002</v>
      </c>
      <c r="L58" s="91">
        <v>0</v>
      </c>
      <c r="M58" s="91">
        <f t="shared" si="3"/>
        <v>1684697.81</v>
      </c>
      <c r="N58" s="91">
        <f>SUM(156344.83+36446.67)</f>
        <v>192791.5</v>
      </c>
      <c r="O58">
        <f>SUM(326647.2+1906)</f>
        <v>328553.2</v>
      </c>
      <c r="P58" s="91">
        <f>SUM(163323.6+4765+26684+9530)</f>
        <v>204302.6</v>
      </c>
      <c r="Q58" s="91">
        <f>SUM(M58:P58)</f>
        <v>2410345.1100000003</v>
      </c>
      <c r="R58" s="91"/>
      <c r="S58" s="91"/>
      <c r="T58" s="91"/>
    </row>
    <row r="59" spans="1:20" x14ac:dyDescent="0.25">
      <c r="A59" s="89" t="s">
        <v>245</v>
      </c>
      <c r="B59" s="90">
        <v>60</v>
      </c>
      <c r="C59" s="91">
        <v>8491.73</v>
      </c>
      <c r="D59" s="91">
        <v>5481.87</v>
      </c>
      <c r="E59" s="91">
        <v>48235.68</v>
      </c>
      <c r="F59" s="91">
        <v>7726.04</v>
      </c>
      <c r="G59" s="91">
        <v>2088.13</v>
      </c>
      <c r="H59" s="91">
        <v>1183.29</v>
      </c>
      <c r="I59" s="91">
        <v>0</v>
      </c>
      <c r="J59" s="91">
        <v>0</v>
      </c>
      <c r="K59" s="91">
        <f>SUM(854.8+1924.89)</f>
        <v>2779.69</v>
      </c>
      <c r="L59" s="91">
        <v>0</v>
      </c>
      <c r="M59" s="91">
        <f t="shared" si="3"/>
        <v>75986.429999999993</v>
      </c>
      <c r="N59" s="91">
        <v>8837.6</v>
      </c>
      <c r="O59" s="91">
        <v>15211.97</v>
      </c>
      <c r="P59" s="91">
        <f>SUM(7544.71+900)</f>
        <v>8444.7099999999991</v>
      </c>
      <c r="Q59" s="91">
        <f t="shared" si="4"/>
        <v>108480.70999999999</v>
      </c>
      <c r="R59" s="91"/>
      <c r="S59" s="91"/>
      <c r="T59" s="91"/>
    </row>
    <row r="60" spans="1:20" x14ac:dyDescent="0.25">
      <c r="A60" s="89" t="s">
        <v>246</v>
      </c>
      <c r="B60" s="90">
        <v>85</v>
      </c>
      <c r="C60" s="91">
        <v>6947.01</v>
      </c>
      <c r="D60" s="91">
        <v>5748.69</v>
      </c>
      <c r="E60" s="91">
        <v>18625.55</v>
      </c>
      <c r="F60" s="91">
        <v>4840.07</v>
      </c>
      <c r="G60" s="91">
        <v>3416.51</v>
      </c>
      <c r="H60" s="91">
        <v>0</v>
      </c>
      <c r="I60" s="91">
        <v>414.59</v>
      </c>
      <c r="J60" s="91">
        <v>0</v>
      </c>
      <c r="K60" s="91">
        <f>SUM(28.86+1000.16)</f>
        <v>1029.02</v>
      </c>
      <c r="L60" s="91">
        <v>2046.47</v>
      </c>
      <c r="M60" s="91">
        <f t="shared" si="3"/>
        <v>43067.909999999996</v>
      </c>
      <c r="N60" s="91">
        <v>5602.02</v>
      </c>
      <c r="O60" s="91">
        <v>8511.58</v>
      </c>
      <c r="P60" s="91">
        <f>SUM(4255.8+1275)</f>
        <v>5530.8</v>
      </c>
      <c r="Q60" s="91">
        <f t="shared" si="4"/>
        <v>62712.31</v>
      </c>
      <c r="R60" s="91"/>
      <c r="S60" s="91"/>
      <c r="T60" s="91"/>
    </row>
    <row r="61" spans="1:20" x14ac:dyDescent="0.25">
      <c r="A61" s="89" t="s">
        <v>247</v>
      </c>
      <c r="B61" s="90">
        <v>319</v>
      </c>
      <c r="C61" s="91">
        <v>37556.76</v>
      </c>
      <c r="D61" s="91">
        <f>SUM(45560.48+2974)</f>
        <v>48534.48</v>
      </c>
      <c r="E61" s="91">
        <v>276152.36</v>
      </c>
      <c r="F61" s="91">
        <v>34786.18</v>
      </c>
      <c r="G61" s="91">
        <v>6156.83</v>
      </c>
      <c r="H61" s="91">
        <v>3027.57</v>
      </c>
      <c r="I61" s="91">
        <v>0</v>
      </c>
      <c r="J61" s="91">
        <v>0</v>
      </c>
      <c r="K61" s="91">
        <v>0</v>
      </c>
      <c r="L61" s="91">
        <v>8928.9</v>
      </c>
      <c r="M61" s="91">
        <f t="shared" si="3"/>
        <v>415143.08</v>
      </c>
      <c r="N61" s="91">
        <v>48607.13</v>
      </c>
      <c r="O61" s="91">
        <v>83071.83</v>
      </c>
      <c r="P61" s="91">
        <v>54947.22</v>
      </c>
      <c r="Q61" s="96">
        <f t="shared" si="4"/>
        <v>601769.26</v>
      </c>
      <c r="R61" s="91"/>
      <c r="S61" s="91"/>
      <c r="T61" s="91"/>
    </row>
    <row r="62" spans="1:20" x14ac:dyDescent="0.25">
      <c r="A62" s="92" t="s">
        <v>248</v>
      </c>
      <c r="B62" s="90">
        <v>30</v>
      </c>
      <c r="C62" s="91">
        <v>4523.3500000000004</v>
      </c>
      <c r="D62" s="91">
        <v>6197.3</v>
      </c>
      <c r="E62" s="91">
        <v>18888.400000000001</v>
      </c>
      <c r="F62" s="91">
        <v>0</v>
      </c>
      <c r="G62" s="91">
        <v>1452.96</v>
      </c>
      <c r="H62" s="91">
        <v>2008.51</v>
      </c>
      <c r="I62" s="91">
        <v>427.11</v>
      </c>
      <c r="J62" s="91">
        <v>0</v>
      </c>
      <c r="K62" s="91">
        <v>0</v>
      </c>
      <c r="L62" s="91">
        <v>3.3</v>
      </c>
      <c r="M62" s="91">
        <f t="shared" si="3"/>
        <v>33500.930000000008</v>
      </c>
      <c r="N62">
        <f>N58</f>
        <v>192791.5</v>
      </c>
      <c r="O62">
        <f t="shared" ref="O62:P62" si="5">O58</f>
        <v>328553.2</v>
      </c>
      <c r="P62">
        <f t="shared" si="5"/>
        <v>204302.6</v>
      </c>
      <c r="Q62" s="91">
        <f t="shared" si="4"/>
        <v>759148.23</v>
      </c>
      <c r="R62" s="91"/>
      <c r="S62" s="91"/>
      <c r="T62" s="91"/>
    </row>
    <row r="63" spans="1:20" x14ac:dyDescent="0.25">
      <c r="A63" s="89" t="s">
        <v>249</v>
      </c>
      <c r="B63" s="90">
        <v>116</v>
      </c>
      <c r="C63" s="91">
        <v>8424.9599999999991</v>
      </c>
      <c r="D63" s="91">
        <v>8418.99</v>
      </c>
      <c r="E63" s="91">
        <v>31372.31</v>
      </c>
      <c r="F63" s="91">
        <v>4725.5</v>
      </c>
      <c r="G63" s="91">
        <v>2788.39</v>
      </c>
      <c r="H63" s="91">
        <v>0</v>
      </c>
      <c r="I63" s="91">
        <v>1569.03</v>
      </c>
      <c r="J63" s="91">
        <v>1549.78</v>
      </c>
      <c r="K63" s="91">
        <f>SUM(4320.92+66.31)</f>
        <v>4387.2300000000005</v>
      </c>
      <c r="L63" s="91">
        <f>SUM(2376.28+4879.7)</f>
        <v>7255.98</v>
      </c>
      <c r="M63" s="91">
        <f t="shared" si="3"/>
        <v>70492.17</v>
      </c>
      <c r="N63" s="91">
        <v>9139.68</v>
      </c>
      <c r="O63" s="91">
        <v>13983.43</v>
      </c>
      <c r="P63" s="91">
        <f>SUM(1735+6991.72)</f>
        <v>8726.7200000000012</v>
      </c>
      <c r="Q63" s="91">
        <f t="shared" si="4"/>
        <v>102342</v>
      </c>
      <c r="R63" s="91"/>
      <c r="S63" s="91"/>
      <c r="T63" s="91"/>
    </row>
    <row r="64" spans="1:20" x14ac:dyDescent="0.25">
      <c r="A64" s="89" t="s">
        <v>250</v>
      </c>
      <c r="B64" s="90">
        <v>17</v>
      </c>
      <c r="C64" s="91">
        <v>1382.25</v>
      </c>
      <c r="D64" s="91">
        <v>2560.19</v>
      </c>
      <c r="E64" s="91">
        <v>5561.97</v>
      </c>
      <c r="F64" s="91">
        <v>728.04</v>
      </c>
      <c r="G64" s="91">
        <v>642.35</v>
      </c>
      <c r="H64" s="91">
        <v>535.05999999999995</v>
      </c>
      <c r="I64" s="91">
        <v>0</v>
      </c>
      <c r="J64" s="91">
        <v>0</v>
      </c>
      <c r="K64" s="91">
        <v>526.33000000000004</v>
      </c>
      <c r="L64" s="91">
        <v>0</v>
      </c>
      <c r="M64" s="91">
        <f t="shared" si="3"/>
        <v>11936.19</v>
      </c>
      <c r="N64" s="91">
        <v>1409.92</v>
      </c>
      <c r="O64" s="91">
        <v>2089.1799999999998</v>
      </c>
      <c r="P64" s="91">
        <v>1152.57</v>
      </c>
      <c r="Q64" s="91">
        <f t="shared" si="4"/>
        <v>16587.86</v>
      </c>
      <c r="R64" s="91"/>
      <c r="S64" s="91"/>
      <c r="T64" s="91"/>
    </row>
    <row r="65" spans="1:20" x14ac:dyDescent="0.25">
      <c r="A65" s="89" t="s">
        <v>251</v>
      </c>
      <c r="B65" s="90">
        <v>157</v>
      </c>
      <c r="C65" s="91">
        <v>19616.900000000001</v>
      </c>
      <c r="D65" s="91">
        <v>9808.48</v>
      </c>
      <c r="E65" s="91">
        <f>SUM(78505.22+282.19)</f>
        <v>78787.41</v>
      </c>
      <c r="F65" s="91">
        <v>12863.53</v>
      </c>
      <c r="G65" s="91">
        <v>6431.77</v>
      </c>
      <c r="H65" s="91">
        <v>5566.77</v>
      </c>
      <c r="I65" s="91">
        <v>643.28</v>
      </c>
      <c r="J65" s="91">
        <v>0</v>
      </c>
      <c r="K65" s="91">
        <f>SUM(488.99+13.41)</f>
        <v>502.40000000000003</v>
      </c>
      <c r="L65" s="91">
        <v>0</v>
      </c>
      <c r="M65" s="91">
        <f>SUM(C65:L65)</f>
        <v>134220.54</v>
      </c>
      <c r="N65" s="91">
        <v>16599.990000000002</v>
      </c>
      <c r="O65" s="91">
        <v>27158.17</v>
      </c>
      <c r="P65">
        <v>17661.12</v>
      </c>
      <c r="Q65" s="91">
        <f t="shared" si="4"/>
        <v>195639.82</v>
      </c>
      <c r="R65" s="91"/>
      <c r="S65" s="91"/>
      <c r="T65" s="91"/>
    </row>
    <row r="66" spans="1:20" x14ac:dyDescent="0.25">
      <c r="A66" s="89" t="s">
        <v>252</v>
      </c>
      <c r="B66" s="90">
        <v>88</v>
      </c>
      <c r="C66" s="91">
        <v>6212.69</v>
      </c>
      <c r="D66" s="91">
        <v>9347.17</v>
      </c>
      <c r="E66" s="91">
        <v>28109.89</v>
      </c>
      <c r="F66" s="91">
        <v>7485.79</v>
      </c>
      <c r="G66" s="91">
        <v>2036.95</v>
      </c>
      <c r="H66" s="91">
        <v>3854.98</v>
      </c>
      <c r="I66" s="91">
        <v>1069.4000000000001</v>
      </c>
      <c r="J66" s="91">
        <v>0</v>
      </c>
      <c r="K66" s="91">
        <f>SUM(451.41+75.26+1163.25+17.62)</f>
        <v>1707.54</v>
      </c>
      <c r="L66" s="91">
        <v>0</v>
      </c>
      <c r="M66" s="91">
        <f t="shared" ref="M66:M122" si="6">SUM(C66:L66)</f>
        <v>59824.41</v>
      </c>
      <c r="N66" s="91">
        <v>7532.51</v>
      </c>
      <c r="O66" s="91">
        <v>12125.47</v>
      </c>
      <c r="P66" s="91">
        <f>SUM(5903.24+1320)</f>
        <v>7223.24</v>
      </c>
      <c r="Q66" s="91">
        <f t="shared" si="4"/>
        <v>86705.63</v>
      </c>
      <c r="R66" s="91"/>
      <c r="S66" s="91"/>
      <c r="T66" s="91"/>
    </row>
    <row r="67" spans="1:20" x14ac:dyDescent="0.25">
      <c r="A67" s="92" t="s">
        <v>253</v>
      </c>
      <c r="B67" s="90">
        <v>33</v>
      </c>
      <c r="C67" s="91">
        <v>1758.89</v>
      </c>
      <c r="D67" s="91">
        <v>7398.56</v>
      </c>
      <c r="E67" s="91">
        <v>6341.7</v>
      </c>
      <c r="F67" s="91">
        <v>2381.15</v>
      </c>
      <c r="G67" s="91">
        <v>993.36</v>
      </c>
      <c r="H67" s="91">
        <v>1093.93</v>
      </c>
      <c r="I67" s="91">
        <v>402.95</v>
      </c>
      <c r="J67" s="91">
        <v>0</v>
      </c>
      <c r="K67" s="91">
        <v>15.43</v>
      </c>
      <c r="L67" s="91">
        <v>0</v>
      </c>
      <c r="M67" s="91">
        <f t="shared" si="6"/>
        <v>20385.970000000005</v>
      </c>
      <c r="N67" s="91">
        <v>3102.62</v>
      </c>
      <c r="O67" s="91">
        <v>4077.19</v>
      </c>
      <c r="P67" s="91">
        <f>SUM(495+2005.59)</f>
        <v>2500.59</v>
      </c>
      <c r="Q67" s="91">
        <f t="shared" si="4"/>
        <v>30066.370000000003</v>
      </c>
      <c r="R67" s="91"/>
      <c r="S67" s="91"/>
      <c r="T67" s="91"/>
    </row>
    <row r="68" spans="1:20" x14ac:dyDescent="0.25">
      <c r="A68" s="89" t="s">
        <v>254</v>
      </c>
      <c r="B68" s="90">
        <v>14</v>
      </c>
      <c r="C68" s="91">
        <v>1261.4000000000001</v>
      </c>
      <c r="D68" s="91">
        <v>2087.48</v>
      </c>
      <c r="E68" s="91">
        <v>6834.39</v>
      </c>
      <c r="F68" s="91">
        <v>1726.7</v>
      </c>
      <c r="G68" s="91">
        <v>516.97</v>
      </c>
      <c r="H68" s="91">
        <v>1013.27</v>
      </c>
      <c r="I68" s="91">
        <v>196.41</v>
      </c>
      <c r="J68" s="91">
        <v>0</v>
      </c>
      <c r="K68" s="91">
        <v>3.13</v>
      </c>
      <c r="L68" s="91">
        <v>31.42</v>
      </c>
      <c r="M68" s="91">
        <f t="shared" si="6"/>
        <v>13671.17</v>
      </c>
      <c r="N68" s="91">
        <v>1650.4</v>
      </c>
      <c r="O68" s="91">
        <v>2109.98</v>
      </c>
      <c r="P68" s="91">
        <v>1250.99</v>
      </c>
      <c r="Q68" s="91">
        <f t="shared" si="4"/>
        <v>18682.54</v>
      </c>
      <c r="R68" s="91"/>
      <c r="S68" s="91"/>
      <c r="T68" s="91"/>
    </row>
    <row r="69" spans="1:20" x14ac:dyDescent="0.25">
      <c r="A69" s="89" t="s">
        <v>255</v>
      </c>
      <c r="B69" s="90">
        <v>56</v>
      </c>
      <c r="C69" s="91">
        <v>3580.19</v>
      </c>
      <c r="D69" s="91">
        <v>6215.66</v>
      </c>
      <c r="E69" s="91">
        <v>19554.240000000002</v>
      </c>
      <c r="F69" s="91">
        <v>3228.03</v>
      </c>
      <c r="G69" s="91">
        <v>2347.66</v>
      </c>
      <c r="H69" s="91">
        <v>2846.55</v>
      </c>
      <c r="I69" s="91">
        <v>674.94</v>
      </c>
      <c r="J69" s="91">
        <v>0</v>
      </c>
      <c r="K69" s="91">
        <v>14.19</v>
      </c>
      <c r="L69" s="91">
        <v>0</v>
      </c>
      <c r="M69" s="91">
        <f t="shared" si="6"/>
        <v>38461.460000000006</v>
      </c>
      <c r="N69" s="91">
        <v>4889.67</v>
      </c>
      <c r="O69" s="91">
        <f>SUM(3773.36+840)</f>
        <v>4613.3600000000006</v>
      </c>
      <c r="P69" s="91">
        <v>7658.67</v>
      </c>
      <c r="Q69" s="91">
        <f t="shared" si="4"/>
        <v>55623.16</v>
      </c>
      <c r="R69" s="91"/>
      <c r="S69" s="91"/>
      <c r="T69" s="91"/>
    </row>
    <row r="70" spans="1:20" x14ac:dyDescent="0.25">
      <c r="A70" s="89" t="s">
        <v>256</v>
      </c>
      <c r="B70" s="90">
        <v>81</v>
      </c>
      <c r="C70" s="91">
        <v>3025.1</v>
      </c>
      <c r="D70" s="91">
        <v>3649.37</v>
      </c>
      <c r="E70" s="91">
        <v>11633.38</v>
      </c>
      <c r="F70" s="91">
        <v>2018.48</v>
      </c>
      <c r="G70" s="91">
        <v>1351.86</v>
      </c>
      <c r="H70" s="91">
        <v>1556.14</v>
      </c>
      <c r="I70" s="91">
        <v>0</v>
      </c>
      <c r="J70" s="91">
        <v>0</v>
      </c>
      <c r="K70" s="91">
        <f>SUM(44.81+880.93)</f>
        <v>925.74</v>
      </c>
      <c r="L70" s="91">
        <v>0</v>
      </c>
      <c r="M70" s="91">
        <f t="shared" si="6"/>
        <v>24160.07</v>
      </c>
      <c r="N70" s="91">
        <f>SUM(5+2210.88+929.89)</f>
        <v>3145.77</v>
      </c>
      <c r="O70" s="91">
        <f>SUM(160.41+32.59+4728.54)</f>
        <v>4921.54</v>
      </c>
      <c r="P70" s="91">
        <f>SUM(1190+2364.28)</f>
        <v>3554.28</v>
      </c>
      <c r="Q70" s="91">
        <f t="shared" si="4"/>
        <v>35781.660000000003</v>
      </c>
      <c r="R70" s="91"/>
      <c r="S70" s="91"/>
      <c r="T70" s="91"/>
    </row>
    <row r="71" spans="1:20" x14ac:dyDescent="0.25">
      <c r="A71" s="89" t="s">
        <v>257</v>
      </c>
      <c r="B71" s="90">
        <v>56</v>
      </c>
      <c r="C71" s="91">
        <v>4309.6000000000004</v>
      </c>
      <c r="D71" s="91">
        <v>4369.17</v>
      </c>
      <c r="E71" s="91">
        <v>18898.669999999998</v>
      </c>
      <c r="F71" s="91">
        <v>2755.29</v>
      </c>
      <c r="G71" s="91">
        <v>1412.98</v>
      </c>
      <c r="H71" s="91">
        <v>1614.36</v>
      </c>
      <c r="I71" s="91">
        <v>0</v>
      </c>
      <c r="J71" s="91">
        <v>3461.78</v>
      </c>
      <c r="K71" s="91">
        <f>SUM(5.71+2068.87)</f>
        <v>2074.58</v>
      </c>
      <c r="L71" s="91">
        <v>0</v>
      </c>
      <c r="M71" s="91">
        <f t="shared" si="6"/>
        <v>38896.43</v>
      </c>
      <c r="N71" s="91">
        <f>SUM(3549.3+1224.07)</f>
        <v>4773.37</v>
      </c>
      <c r="O71" s="91">
        <f>SUM(120+7501.29)</f>
        <v>7621.29</v>
      </c>
      <c r="P71" s="91">
        <f>SUM(900+3750.64)</f>
        <v>4650.6399999999994</v>
      </c>
      <c r="Q71" s="91">
        <f t="shared" si="4"/>
        <v>55941.73</v>
      </c>
      <c r="R71" s="91"/>
      <c r="S71" s="91"/>
      <c r="T71" s="91"/>
    </row>
    <row r="72" spans="1:20" x14ac:dyDescent="0.25">
      <c r="A72" s="89" t="s">
        <v>258</v>
      </c>
      <c r="B72" s="90">
        <v>18</v>
      </c>
      <c r="C72" s="91">
        <v>1270.8399999999999</v>
      </c>
      <c r="D72" s="91">
        <v>1391.61</v>
      </c>
      <c r="E72" s="91">
        <v>4625.04</v>
      </c>
      <c r="F72" s="91">
        <v>0</v>
      </c>
      <c r="G72" s="91">
        <v>312.5</v>
      </c>
      <c r="H72" s="91">
        <v>531.28</v>
      </c>
      <c r="I72" s="91">
        <v>162.49</v>
      </c>
      <c r="J72" s="91">
        <v>0</v>
      </c>
      <c r="K72" s="91">
        <v>1031.26</v>
      </c>
      <c r="L72" s="91">
        <v>0</v>
      </c>
      <c r="M72" s="91">
        <f t="shared" si="6"/>
        <v>9325.02</v>
      </c>
      <c r="N72" s="91">
        <v>1195.3699999999999</v>
      </c>
      <c r="O72" s="91">
        <v>1834.61</v>
      </c>
      <c r="P72" s="91">
        <v>1202.29</v>
      </c>
      <c r="Q72" s="91">
        <f t="shared" si="4"/>
        <v>13557.29</v>
      </c>
      <c r="R72" s="91"/>
      <c r="S72" s="91"/>
      <c r="T72" s="91"/>
    </row>
    <row r="73" spans="1:20" x14ac:dyDescent="0.25">
      <c r="A73" s="89" t="s">
        <v>259</v>
      </c>
      <c r="B73" s="90">
        <v>36</v>
      </c>
      <c r="C73" s="91">
        <v>2587.92</v>
      </c>
      <c r="D73" s="91">
        <v>2937.59</v>
      </c>
      <c r="E73" s="91">
        <v>13044.81</v>
      </c>
      <c r="F73" s="91">
        <v>1887.91</v>
      </c>
      <c r="G73" s="91">
        <v>477.26</v>
      </c>
      <c r="H73" s="91">
        <v>1056.17</v>
      </c>
      <c r="I73" s="91">
        <v>318.16000000000003</v>
      </c>
      <c r="J73" s="91">
        <v>0</v>
      </c>
      <c r="K73" s="91">
        <f>SUM(6.69+37.21+178.84)</f>
        <v>222.74</v>
      </c>
      <c r="L73" s="91">
        <v>0</v>
      </c>
      <c r="M73" s="91">
        <f t="shared" si="6"/>
        <v>22532.559999999998</v>
      </c>
      <c r="N73" s="91">
        <v>2797.75</v>
      </c>
      <c r="O73" s="91">
        <f>SUM(540+2235.27+1008)</f>
        <v>3783.27</v>
      </c>
      <c r="P73" s="91">
        <v>4542.5200000000004</v>
      </c>
      <c r="Q73" s="91">
        <f t="shared" si="4"/>
        <v>33656.1</v>
      </c>
      <c r="R73" s="91"/>
      <c r="S73" s="91"/>
      <c r="T73" s="91"/>
    </row>
    <row r="74" spans="1:20" x14ac:dyDescent="0.25">
      <c r="A74" s="89" t="s">
        <v>260</v>
      </c>
      <c r="B74" s="90">
        <v>19</v>
      </c>
      <c r="C74" s="91">
        <v>1522.58</v>
      </c>
      <c r="D74" s="91">
        <f>SUM(1462.44+152)</f>
        <v>1614.44</v>
      </c>
      <c r="E74" s="91">
        <v>5603.6</v>
      </c>
      <c r="F74" s="91">
        <v>586.59</v>
      </c>
      <c r="G74" s="91">
        <v>374.4</v>
      </c>
      <c r="H74" s="91">
        <v>474.25</v>
      </c>
      <c r="I74" s="91">
        <v>0</v>
      </c>
      <c r="J74" s="91">
        <v>911.08</v>
      </c>
      <c r="K74">
        <f>SUM(174.22+167.44)</f>
        <v>341.65999999999997</v>
      </c>
      <c r="L74" s="91">
        <v>0</v>
      </c>
      <c r="M74" s="91">
        <f t="shared" si="6"/>
        <v>11428.6</v>
      </c>
      <c r="N74" s="91">
        <f>SUM(1052.47+421.4)</f>
        <v>1473.87</v>
      </c>
      <c r="O74" s="91">
        <v>2224.92</v>
      </c>
      <c r="P74" s="91">
        <v>1302.48</v>
      </c>
      <c r="Q74" s="91">
        <f>SUM(M74:P74)</f>
        <v>16429.870000000003</v>
      </c>
      <c r="R74" s="91"/>
      <c r="S74" s="91"/>
      <c r="T74" s="91"/>
    </row>
    <row r="75" spans="1:20" x14ac:dyDescent="0.25">
      <c r="A75" s="89" t="s">
        <v>261</v>
      </c>
      <c r="B75" s="90">
        <v>180</v>
      </c>
      <c r="C75" s="91">
        <v>28871.75</v>
      </c>
      <c r="D75" s="91">
        <v>26925.42</v>
      </c>
      <c r="E75" s="91">
        <v>92357.78</v>
      </c>
      <c r="F75" s="91">
        <v>13962.55</v>
      </c>
      <c r="G75" s="91">
        <f>SUM(5679.71+2603.18)</f>
        <v>8282.89</v>
      </c>
      <c r="H75" s="91">
        <v>6872.43</v>
      </c>
      <c r="I75" s="91">
        <v>0</v>
      </c>
      <c r="J75" s="91">
        <v>0</v>
      </c>
      <c r="K75" s="91">
        <f>SUM(2354.8+1469.51+699.42+724.6+787.34+57.31)</f>
        <v>6092.9800000000014</v>
      </c>
      <c r="L75" s="91">
        <v>2000.58</v>
      </c>
      <c r="M75" s="91">
        <f t="shared" si="6"/>
        <v>185366.38</v>
      </c>
      <c r="N75" s="91">
        <v>22646.240000000002</v>
      </c>
      <c r="O75" s="91">
        <v>36497.31</v>
      </c>
      <c r="P75" s="91">
        <v>20768.66</v>
      </c>
      <c r="Q75" s="91">
        <f t="shared" si="4"/>
        <v>265278.58999999997</v>
      </c>
      <c r="R75" s="91"/>
      <c r="S75" s="91"/>
      <c r="T75" s="91"/>
    </row>
    <row r="76" spans="1:20" x14ac:dyDescent="0.25">
      <c r="A76" s="89" t="s">
        <v>262</v>
      </c>
      <c r="B76" s="90">
        <v>44</v>
      </c>
      <c r="C76" s="91">
        <v>5850.68</v>
      </c>
      <c r="D76" s="91">
        <v>4947.8999999999996</v>
      </c>
      <c r="E76" s="91">
        <v>19710.05</v>
      </c>
      <c r="F76" s="91">
        <v>3596.72</v>
      </c>
      <c r="G76" s="91">
        <v>1918.25</v>
      </c>
      <c r="H76" s="91">
        <v>1894.29</v>
      </c>
      <c r="I76" s="91">
        <v>815.27</v>
      </c>
      <c r="J76" s="91">
        <v>0</v>
      </c>
      <c r="K76" s="91">
        <f>SUM(4795.64+3.31)</f>
        <v>4798.9500000000007</v>
      </c>
      <c r="L76" s="91">
        <v>0</v>
      </c>
      <c r="M76" s="91">
        <f t="shared" si="6"/>
        <v>43532.11</v>
      </c>
      <c r="N76" s="91">
        <v>5430.71</v>
      </c>
      <c r="O76" s="91">
        <v>8706.44</v>
      </c>
      <c r="P76" s="91">
        <f>SUM(660+4309.23)</f>
        <v>4969.2299999999996</v>
      </c>
      <c r="Q76" s="91">
        <f t="shared" si="4"/>
        <v>62638.490000000005</v>
      </c>
      <c r="R76" s="91"/>
      <c r="S76" s="91"/>
      <c r="T76" s="91"/>
    </row>
    <row r="77" spans="1:20" x14ac:dyDescent="0.25">
      <c r="A77" s="89" t="s">
        <v>263</v>
      </c>
      <c r="B77" s="90">
        <v>3</v>
      </c>
      <c r="C77" s="91">
        <v>317.42</v>
      </c>
      <c r="D77" s="91">
        <v>467.68</v>
      </c>
      <c r="E77" s="91">
        <v>1477.81</v>
      </c>
      <c r="F77" s="91">
        <v>101.47</v>
      </c>
      <c r="G77" s="91">
        <v>135.30000000000001</v>
      </c>
      <c r="H77" s="91">
        <v>89.45</v>
      </c>
      <c r="I77" s="91">
        <v>33.82</v>
      </c>
      <c r="J77" s="91">
        <v>0</v>
      </c>
      <c r="K77" s="91">
        <v>139.51</v>
      </c>
      <c r="L77" s="91">
        <v>0</v>
      </c>
      <c r="M77" s="91">
        <f t="shared" si="6"/>
        <v>2762.46</v>
      </c>
      <c r="N77" s="91">
        <v>351.73</v>
      </c>
      <c r="O77" s="91">
        <v>547.69000000000005</v>
      </c>
      <c r="P77" s="91">
        <f>SUM(45+270.85)</f>
        <v>315.85000000000002</v>
      </c>
      <c r="Q77" s="91">
        <f t="shared" si="4"/>
        <v>3977.73</v>
      </c>
      <c r="R77" s="91"/>
      <c r="S77" s="91"/>
      <c r="T77" s="91"/>
    </row>
    <row r="78" spans="1:20" x14ac:dyDescent="0.25">
      <c r="A78" s="89" t="s">
        <v>264</v>
      </c>
      <c r="B78" s="90">
        <v>167</v>
      </c>
      <c r="C78" s="91">
        <v>23935.87</v>
      </c>
      <c r="D78" s="91">
        <v>17759.39</v>
      </c>
      <c r="E78" s="91">
        <v>125345.92</v>
      </c>
      <c r="F78" s="91">
        <v>11574.25</v>
      </c>
      <c r="G78" s="91">
        <v>9809.77</v>
      </c>
      <c r="H78" s="91">
        <v>3390.85</v>
      </c>
      <c r="I78" s="91">
        <v>0</v>
      </c>
      <c r="J78" s="91">
        <v>9809.77</v>
      </c>
      <c r="K78" s="91">
        <v>1.19</v>
      </c>
      <c r="L78" s="91">
        <v>291.05</v>
      </c>
      <c r="M78" s="91">
        <f t="shared" si="6"/>
        <v>201918.05999999997</v>
      </c>
      <c r="N78" s="91">
        <v>23725.3</v>
      </c>
      <c r="O78" s="91">
        <v>40383.449999999997</v>
      </c>
      <c r="P78" s="91">
        <f>SUM(20024.78+2505)</f>
        <v>22529.78</v>
      </c>
      <c r="Q78" s="91">
        <f t="shared" si="4"/>
        <v>288556.58999999997</v>
      </c>
      <c r="R78" s="91"/>
      <c r="S78" s="91"/>
      <c r="T78" s="91"/>
    </row>
    <row r="79" spans="1:20" x14ac:dyDescent="0.25">
      <c r="A79" s="89" t="s">
        <v>265</v>
      </c>
      <c r="B79" s="90">
        <v>78</v>
      </c>
      <c r="C79" s="91">
        <v>1863.85</v>
      </c>
      <c r="D79" s="91">
        <f>SUM(7486.15+2260.25)</f>
        <v>9746.4</v>
      </c>
      <c r="E79" s="91">
        <v>9288.99</v>
      </c>
      <c r="F79" s="91">
        <v>1787.59</v>
      </c>
      <c r="G79" s="91">
        <v>1222.24</v>
      </c>
      <c r="H79" s="91">
        <v>1938.8</v>
      </c>
      <c r="I79" s="91">
        <v>244.43</v>
      </c>
      <c r="J79" s="91">
        <v>0</v>
      </c>
      <c r="K79" s="91">
        <v>51.88</v>
      </c>
      <c r="L79" s="91">
        <v>0</v>
      </c>
      <c r="M79" s="91">
        <f t="shared" si="6"/>
        <v>26144.18</v>
      </c>
      <c r="N79" s="91">
        <f>SUM(2259.42+938.26)</f>
        <v>3197.6800000000003</v>
      </c>
      <c r="O79" s="91">
        <f>SUM(155.76+4776.79)</f>
        <v>4932.55</v>
      </c>
      <c r="P79" s="91">
        <f>SUM(2388.45+778.79)</f>
        <v>3167.24</v>
      </c>
      <c r="Q79" s="91">
        <f t="shared" si="4"/>
        <v>37441.65</v>
      </c>
      <c r="R79" s="91"/>
      <c r="S79" s="91"/>
      <c r="T79" s="91"/>
    </row>
    <row r="80" spans="1:20" x14ac:dyDescent="0.25">
      <c r="A80" s="89" t="s">
        <v>266</v>
      </c>
      <c r="B80" s="90">
        <v>32</v>
      </c>
      <c r="C80" s="91">
        <v>2022.28</v>
      </c>
      <c r="D80" s="91">
        <v>1863.52</v>
      </c>
      <c r="E80" s="91">
        <v>9945.61</v>
      </c>
      <c r="F80" s="91">
        <v>927.69</v>
      </c>
      <c r="G80" s="91">
        <v>497.28</v>
      </c>
      <c r="H80" s="91">
        <v>502.39</v>
      </c>
      <c r="I80" s="91">
        <v>0</v>
      </c>
      <c r="J80" s="91">
        <v>0</v>
      </c>
      <c r="K80" s="91">
        <v>5.0599999999999996</v>
      </c>
      <c r="L80" s="91">
        <v>182.31</v>
      </c>
      <c r="M80" s="91">
        <f t="shared" si="6"/>
        <v>15946.14</v>
      </c>
      <c r="N80" s="91">
        <f>SUM(2039.55+1464.22+575.33)</f>
        <v>4079.1</v>
      </c>
      <c r="O80" s="91">
        <f>SUM(3165.65+3101.65+64)</f>
        <v>6331.3</v>
      </c>
      <c r="P80" s="91">
        <f>SUM(1870.82+1550.82+320)</f>
        <v>3741.64</v>
      </c>
      <c r="Q80" s="91">
        <f t="shared" si="4"/>
        <v>30098.179999999997</v>
      </c>
      <c r="R80" s="91"/>
      <c r="S80" s="91"/>
      <c r="T80" s="91"/>
    </row>
    <row r="81" spans="1:20" x14ac:dyDescent="0.25">
      <c r="A81" s="89" t="s">
        <v>267</v>
      </c>
      <c r="B81" s="90">
        <v>91</v>
      </c>
      <c r="C81" s="91">
        <v>8360.6</v>
      </c>
      <c r="D81" s="91">
        <v>6578.78</v>
      </c>
      <c r="E81" s="91">
        <v>32482.91</v>
      </c>
      <c r="F81" s="91">
        <v>6441.79</v>
      </c>
      <c r="G81" s="91">
        <v>4968.53</v>
      </c>
      <c r="H81" s="91">
        <v>1233.51</v>
      </c>
      <c r="I81" s="91">
        <v>342.71</v>
      </c>
      <c r="J81" s="91">
        <v>82.34</v>
      </c>
      <c r="K81" s="91">
        <v>3747.86</v>
      </c>
      <c r="L81" s="91">
        <v>7631.26</v>
      </c>
      <c r="M81" s="91">
        <f t="shared" si="6"/>
        <v>71870.289999999994</v>
      </c>
      <c r="N81" s="91">
        <v>9451.24</v>
      </c>
      <c r="O81" s="91">
        <v>14556.05</v>
      </c>
      <c r="P81" s="91">
        <v>9232.0300000000007</v>
      </c>
      <c r="Q81" s="91">
        <f t="shared" si="4"/>
        <v>105109.61</v>
      </c>
      <c r="R81" s="91"/>
      <c r="S81" s="91"/>
      <c r="T81" s="91"/>
    </row>
    <row r="82" spans="1:20" x14ac:dyDescent="0.25">
      <c r="A82" s="100" t="s">
        <v>268</v>
      </c>
      <c r="B82" s="101">
        <v>5</v>
      </c>
      <c r="C82" s="102"/>
      <c r="D82" s="102"/>
      <c r="E82" s="102"/>
      <c r="F82" s="102"/>
      <c r="G82" s="102"/>
      <c r="H82" s="102"/>
      <c r="I82" s="102"/>
      <c r="J82" s="102"/>
      <c r="K82" s="102"/>
      <c r="L82" s="102"/>
      <c r="M82" s="102">
        <f t="shared" si="6"/>
        <v>0</v>
      </c>
      <c r="N82" s="102"/>
      <c r="O82" s="102"/>
      <c r="P82" s="102"/>
      <c r="Q82" s="102">
        <f t="shared" si="4"/>
        <v>0</v>
      </c>
      <c r="R82" s="91"/>
      <c r="S82" s="91"/>
      <c r="T82" s="91"/>
    </row>
    <row r="83" spans="1:20" x14ac:dyDescent="0.25">
      <c r="A83" s="89" t="s">
        <v>269</v>
      </c>
      <c r="B83" s="90">
        <v>25</v>
      </c>
      <c r="C83" s="91">
        <v>1351.06</v>
      </c>
      <c r="D83" s="91">
        <v>3088.83</v>
      </c>
      <c r="E83" s="91">
        <v>5459.55</v>
      </c>
      <c r="F83" s="91">
        <v>741.97</v>
      </c>
      <c r="G83" s="91">
        <v>830.57</v>
      </c>
      <c r="H83" s="91">
        <v>442.98</v>
      </c>
      <c r="I83" s="91">
        <v>0</v>
      </c>
      <c r="J83" s="91">
        <v>0</v>
      </c>
      <c r="K83" s="91">
        <v>0</v>
      </c>
      <c r="L83" s="91">
        <v>1000.38</v>
      </c>
      <c r="M83" s="91">
        <f t="shared" si="6"/>
        <v>12915.339999999997</v>
      </c>
      <c r="N83" s="91">
        <v>1614.36</v>
      </c>
      <c r="O83" s="91">
        <v>2493.06</v>
      </c>
      <c r="P83" s="91">
        <f>SUM(375+1234.05)</f>
        <v>1609.05</v>
      </c>
      <c r="Q83" s="91">
        <f t="shared" si="4"/>
        <v>18631.809999999998</v>
      </c>
      <c r="R83" s="91"/>
      <c r="S83" s="91"/>
      <c r="T83" s="91"/>
    </row>
    <row r="84" spans="1:20" x14ac:dyDescent="0.25">
      <c r="A84" s="89" t="s">
        <v>270</v>
      </c>
      <c r="B84" s="90">
        <v>62</v>
      </c>
      <c r="C84" s="91">
        <v>5516.53</v>
      </c>
      <c r="D84" s="91">
        <v>10324.94</v>
      </c>
      <c r="E84" s="91">
        <v>23693.9</v>
      </c>
      <c r="F84" s="91">
        <v>4431.28</v>
      </c>
      <c r="G84" s="91">
        <v>1220.8699999999999</v>
      </c>
      <c r="H84" s="91">
        <v>1537.4</v>
      </c>
      <c r="I84" s="91">
        <v>361.72</v>
      </c>
      <c r="J84" s="91">
        <v>959.15</v>
      </c>
      <c r="K84" s="91">
        <f>SUM(3313.95+0.84)</f>
        <v>3314.79</v>
      </c>
      <c r="L84" s="91">
        <v>820.13</v>
      </c>
      <c r="M84" s="91">
        <f t="shared" si="6"/>
        <v>52180.710000000006</v>
      </c>
      <c r="N84" s="91">
        <v>6757.29</v>
      </c>
      <c r="O84" s="91">
        <v>10448.540000000001</v>
      </c>
      <c r="P84" s="91">
        <f>SUM(5162.29+930)</f>
        <v>6092.29</v>
      </c>
      <c r="Q84" s="91">
        <f t="shared" si="4"/>
        <v>75478.83</v>
      </c>
      <c r="R84" s="91"/>
      <c r="S84" s="91"/>
      <c r="T84" s="91"/>
    </row>
    <row r="85" spans="1:20" x14ac:dyDescent="0.25">
      <c r="A85" s="89" t="s">
        <v>271</v>
      </c>
      <c r="B85" s="90">
        <v>26</v>
      </c>
      <c r="C85" s="91">
        <v>967.07</v>
      </c>
      <c r="D85" s="91">
        <v>1059.6600000000001</v>
      </c>
      <c r="E85" s="91">
        <v>4256.68</v>
      </c>
      <c r="F85" s="91">
        <v>729.27</v>
      </c>
      <c r="G85" s="91">
        <v>634.14</v>
      </c>
      <c r="H85" s="91">
        <v>523.16999999999996</v>
      </c>
      <c r="I85" s="91">
        <v>475.61</v>
      </c>
      <c r="J85" s="91">
        <v>705.48</v>
      </c>
      <c r="K85" s="91">
        <v>708.2</v>
      </c>
      <c r="L85" s="91">
        <v>0</v>
      </c>
      <c r="M85" s="91">
        <f t="shared" si="6"/>
        <v>10059.280000000001</v>
      </c>
      <c r="N85" s="91">
        <v>1302.25</v>
      </c>
      <c r="O85" s="91">
        <v>2032.65</v>
      </c>
      <c r="P85" s="91">
        <v>1380.34</v>
      </c>
      <c r="Q85" s="91">
        <f t="shared" si="4"/>
        <v>14774.52</v>
      </c>
      <c r="R85" s="91"/>
      <c r="S85" s="91"/>
      <c r="T85" s="91"/>
    </row>
    <row r="86" spans="1:20" x14ac:dyDescent="0.25">
      <c r="A86" s="89" t="s">
        <v>272</v>
      </c>
      <c r="B86" s="90">
        <v>87</v>
      </c>
      <c r="C86" s="91">
        <v>11503.27</v>
      </c>
      <c r="D86" s="91">
        <v>12083.1</v>
      </c>
      <c r="E86" s="91">
        <v>56179.37</v>
      </c>
      <c r="F86" s="91">
        <v>7731.73</v>
      </c>
      <c r="G86" s="91">
        <v>3771.58</v>
      </c>
      <c r="H86" s="91">
        <v>3865.77</v>
      </c>
      <c r="I86" s="91">
        <v>660.07</v>
      </c>
      <c r="J86" s="91">
        <v>0</v>
      </c>
      <c r="K86" s="91">
        <v>2985.1</v>
      </c>
      <c r="L86" s="91">
        <v>0</v>
      </c>
      <c r="M86" s="91">
        <f t="shared" si="6"/>
        <v>98779.99000000002</v>
      </c>
      <c r="N86" s="91">
        <v>12169.06</v>
      </c>
      <c r="O86" s="91">
        <v>19738.57</v>
      </c>
      <c r="P86" s="91">
        <f>SUM(1305+9782.31)</f>
        <v>11087.31</v>
      </c>
      <c r="Q86" s="91">
        <f t="shared" si="4"/>
        <v>141774.93000000002</v>
      </c>
      <c r="R86" s="91"/>
      <c r="S86" s="91"/>
      <c r="T86" s="91"/>
    </row>
    <row r="87" spans="1:20" x14ac:dyDescent="0.25">
      <c r="A87" s="89" t="s">
        <v>273</v>
      </c>
      <c r="B87" s="90">
        <v>42</v>
      </c>
      <c r="C87" s="91">
        <v>2101.14</v>
      </c>
      <c r="D87" s="91">
        <v>2419.08</v>
      </c>
      <c r="E87" s="91">
        <v>8856.7800000000007</v>
      </c>
      <c r="F87" s="91">
        <v>1885.07</v>
      </c>
      <c r="G87" s="91">
        <v>0</v>
      </c>
      <c r="H87" s="91">
        <v>1764.58</v>
      </c>
      <c r="I87" s="91">
        <v>245.26</v>
      </c>
      <c r="J87" s="91">
        <v>1011.49</v>
      </c>
      <c r="K87" s="91">
        <f>SUM(20.93+1220.89)</f>
        <v>1241.8200000000002</v>
      </c>
      <c r="L87" s="91">
        <v>0</v>
      </c>
      <c r="M87" s="91">
        <f t="shared" si="6"/>
        <v>19525.22</v>
      </c>
      <c r="N87" s="91">
        <v>2481.42</v>
      </c>
      <c r="O87" s="91">
        <v>3720.25</v>
      </c>
      <c r="P87" s="91">
        <f>SUM(630+1860.13)</f>
        <v>2490.13</v>
      </c>
      <c r="Q87" s="91">
        <f t="shared" si="4"/>
        <v>28217.02</v>
      </c>
      <c r="R87" s="91"/>
      <c r="S87" s="91"/>
      <c r="T87" s="91"/>
    </row>
    <row r="88" spans="1:20" x14ac:dyDescent="0.25">
      <c r="A88" s="92" t="s">
        <v>274</v>
      </c>
      <c r="B88" s="90">
        <v>39</v>
      </c>
      <c r="C88" s="91">
        <v>1611.07</v>
      </c>
      <c r="D88" s="91">
        <v>1538.9</v>
      </c>
      <c r="E88" s="91">
        <v>7170.59</v>
      </c>
      <c r="F88" s="91">
        <v>765.9</v>
      </c>
      <c r="G88" s="91">
        <v>528.22</v>
      </c>
      <c r="H88" s="91">
        <v>783.06</v>
      </c>
      <c r="I88" s="91">
        <v>237.68</v>
      </c>
      <c r="J88" s="91">
        <v>935.47</v>
      </c>
      <c r="K88" s="91">
        <v>7.38</v>
      </c>
      <c r="L88" s="91">
        <v>0</v>
      </c>
      <c r="M88" s="91">
        <f t="shared" si="6"/>
        <v>13578.269999999999</v>
      </c>
      <c r="N88" s="91">
        <v>1706.75</v>
      </c>
      <c r="O88" s="91">
        <v>2715.67</v>
      </c>
      <c r="P88" s="91">
        <f>SUM(1318.82+585)</f>
        <v>1903.82</v>
      </c>
      <c r="Q88" s="91">
        <f t="shared" si="4"/>
        <v>19904.509999999998</v>
      </c>
      <c r="R88" s="91"/>
      <c r="S88" s="91"/>
      <c r="T88" s="91"/>
    </row>
    <row r="89" spans="1:20" x14ac:dyDescent="0.25">
      <c r="A89" s="89" t="s">
        <v>275</v>
      </c>
      <c r="B89" s="90">
        <v>57</v>
      </c>
      <c r="C89" s="91">
        <v>6952.3</v>
      </c>
      <c r="D89" s="91">
        <v>4502.01</v>
      </c>
      <c r="E89" s="91">
        <v>29233.67</v>
      </c>
      <c r="F89" s="91">
        <v>4330.8500000000004</v>
      </c>
      <c r="G89" s="91">
        <v>2849.29</v>
      </c>
      <c r="H89" s="91">
        <v>2963.29</v>
      </c>
      <c r="I89" s="91">
        <v>0</v>
      </c>
      <c r="J89" s="91">
        <v>4330.8500000000004</v>
      </c>
      <c r="K89" s="91">
        <v>4372.09</v>
      </c>
      <c r="L89" s="91">
        <v>0</v>
      </c>
      <c r="M89" s="91">
        <f t="shared" si="6"/>
        <v>59534.349999999991</v>
      </c>
      <c r="N89" s="91">
        <v>7499.58</v>
      </c>
      <c r="O89" s="91">
        <v>11963.86</v>
      </c>
      <c r="P89" s="91">
        <f>SUM(5924.94+855)</f>
        <v>6779.94</v>
      </c>
      <c r="Q89" s="91">
        <f t="shared" si="4"/>
        <v>85777.73</v>
      </c>
      <c r="R89" s="91"/>
      <c r="S89" s="91"/>
      <c r="T89" s="91"/>
    </row>
    <row r="90" spans="1:20" x14ac:dyDescent="0.25">
      <c r="A90" s="89" t="s">
        <v>276</v>
      </c>
      <c r="B90" s="90">
        <v>51</v>
      </c>
      <c r="C90" s="91">
        <v>2045.18</v>
      </c>
      <c r="D90" s="91">
        <v>1005.81</v>
      </c>
      <c r="E90" s="91">
        <v>10309.709999999999</v>
      </c>
      <c r="F90" s="91">
        <v>2011.64</v>
      </c>
      <c r="G90" s="91">
        <v>1676.37</v>
      </c>
      <c r="H90" s="91">
        <v>1965.59</v>
      </c>
      <c r="I90" s="91">
        <v>318.57</v>
      </c>
      <c r="J90" s="91">
        <v>1592.59</v>
      </c>
      <c r="K90" s="91">
        <v>30.42</v>
      </c>
      <c r="L90" s="91">
        <v>0</v>
      </c>
      <c r="M90" s="91">
        <f t="shared" si="6"/>
        <v>20955.879999999997</v>
      </c>
      <c r="N90" s="91">
        <f>SUM(1982.45+831.39)</f>
        <v>2813.84</v>
      </c>
      <c r="O90" s="91">
        <v>4191.1499999999996</v>
      </c>
      <c r="P90" s="91">
        <f>SUM(51+510+2095.61)</f>
        <v>2656.61</v>
      </c>
      <c r="Q90" s="91">
        <f t="shared" si="4"/>
        <v>30617.479999999996</v>
      </c>
      <c r="R90" s="91"/>
      <c r="S90" s="91"/>
      <c r="T90" s="91"/>
    </row>
    <row r="91" spans="1:20" x14ac:dyDescent="0.25">
      <c r="A91" s="89" t="s">
        <v>277</v>
      </c>
      <c r="B91" s="90">
        <v>71</v>
      </c>
      <c r="C91" s="91">
        <v>5475.18</v>
      </c>
      <c r="D91" s="91">
        <v>5253.14</v>
      </c>
      <c r="E91" s="91">
        <v>23864.93</v>
      </c>
      <c r="F91" s="91">
        <v>4615.47</v>
      </c>
      <c r="G91" s="91">
        <v>1343.19</v>
      </c>
      <c r="H91" s="91">
        <v>886.54</v>
      </c>
      <c r="I91" s="91">
        <v>233.36</v>
      </c>
      <c r="J91" s="91">
        <v>0</v>
      </c>
      <c r="K91" s="91">
        <v>0</v>
      </c>
      <c r="L91" s="91">
        <f>SUM(403.96+4.18+256.62)</f>
        <v>664.76</v>
      </c>
      <c r="M91" s="91">
        <f t="shared" si="6"/>
        <v>42336.570000000007</v>
      </c>
      <c r="N91" s="91">
        <v>5278.62</v>
      </c>
      <c r="O91" s="91">
        <v>8577.5300000000007</v>
      </c>
      <c r="P91" s="91">
        <f>SUM(4300.13+939.46)</f>
        <v>5239.59</v>
      </c>
      <c r="Q91" s="91">
        <f>SUM(M91:P91)</f>
        <v>61432.310000000012</v>
      </c>
      <c r="R91" s="91"/>
      <c r="S91" s="91"/>
      <c r="T91" s="91"/>
    </row>
    <row r="92" spans="1:20" x14ac:dyDescent="0.25">
      <c r="A92" s="89" t="s">
        <v>278</v>
      </c>
      <c r="B92" s="90">
        <v>92</v>
      </c>
      <c r="C92" s="91">
        <v>22405.919999999998</v>
      </c>
      <c r="D92" s="91">
        <f>SUM(26262.68+1196)</f>
        <v>27458.68</v>
      </c>
      <c r="E92" s="91">
        <v>41060.230000000003</v>
      </c>
      <c r="F92" s="91">
        <v>14508.77</v>
      </c>
      <c r="G92" s="91">
        <v>0</v>
      </c>
      <c r="H92" s="91">
        <v>1891.73</v>
      </c>
      <c r="I92" s="91">
        <v>954.93</v>
      </c>
      <c r="J92" s="91">
        <v>0</v>
      </c>
      <c r="K92" s="91">
        <f>SUM(736+2713.743)</f>
        <v>3449.7429999999999</v>
      </c>
      <c r="L92" s="91">
        <v>0</v>
      </c>
      <c r="M92" s="91">
        <f t="shared" si="6"/>
        <v>111730.003</v>
      </c>
      <c r="N92" s="91">
        <f>SUM(3581.43+10573.8)</f>
        <v>14155.23</v>
      </c>
      <c r="O92" s="91">
        <f>SUM(22106.83+184)</f>
        <v>22290.83</v>
      </c>
      <c r="P92" s="91">
        <f>SUM(11053.41+460+2548+920)</f>
        <v>14981.41</v>
      </c>
      <c r="Q92" s="91">
        <f t="shared" si="4"/>
        <v>163157.473</v>
      </c>
      <c r="R92" s="91"/>
      <c r="S92" s="91"/>
      <c r="T92" s="91"/>
    </row>
    <row r="93" spans="1:20" x14ac:dyDescent="0.25">
      <c r="A93" s="89" t="s">
        <v>279</v>
      </c>
      <c r="B93" s="90">
        <v>11</v>
      </c>
      <c r="C93" s="91">
        <v>700.96</v>
      </c>
      <c r="D93" s="91">
        <v>875.62</v>
      </c>
      <c r="E93" s="91">
        <v>2269.4699999999998</v>
      </c>
      <c r="F93" s="91">
        <v>448.14</v>
      </c>
      <c r="G93" s="91">
        <v>287.27999999999997</v>
      </c>
      <c r="H93" s="91">
        <v>200.35</v>
      </c>
      <c r="I93" s="91">
        <v>86.18</v>
      </c>
      <c r="J93" s="91">
        <v>0</v>
      </c>
      <c r="K93" s="91">
        <v>294.7</v>
      </c>
      <c r="L93" s="91">
        <v>0</v>
      </c>
      <c r="M93" s="91">
        <f t="shared" si="6"/>
        <v>5162.7</v>
      </c>
      <c r="N93" s="91">
        <v>678.55</v>
      </c>
      <c r="O93" s="91">
        <v>1017.14</v>
      </c>
      <c r="P93" s="91">
        <f>SUM(508.59+165)</f>
        <v>673.58999999999992</v>
      </c>
      <c r="Q93" s="91">
        <f t="shared" si="4"/>
        <v>7531.9800000000005</v>
      </c>
      <c r="R93" s="91"/>
      <c r="S93" s="91"/>
      <c r="T93" s="91"/>
    </row>
    <row r="94" spans="1:20" x14ac:dyDescent="0.25">
      <c r="A94" s="89" t="s">
        <v>280</v>
      </c>
      <c r="B94" s="90">
        <v>55</v>
      </c>
      <c r="C94" s="91">
        <v>3768.11</v>
      </c>
      <c r="D94" s="91">
        <v>2534.7399999999998</v>
      </c>
      <c r="E94" s="91">
        <v>16122.63</v>
      </c>
      <c r="F94" s="91">
        <v>2409.14</v>
      </c>
      <c r="G94" s="91">
        <v>1235.45</v>
      </c>
      <c r="H94" s="91">
        <v>929.52</v>
      </c>
      <c r="I94" s="91">
        <v>247.09</v>
      </c>
      <c r="J94" s="91">
        <v>0</v>
      </c>
      <c r="K94" s="91">
        <v>22.06</v>
      </c>
      <c r="L94" s="91">
        <v>6.03</v>
      </c>
      <c r="M94" s="91">
        <f t="shared" si="6"/>
        <v>27274.77</v>
      </c>
      <c r="N94" s="91">
        <v>3265.83</v>
      </c>
      <c r="O94" s="91">
        <v>5398.97</v>
      </c>
      <c r="P94" s="91">
        <f>SUM(2699.46+840)</f>
        <v>3539.46</v>
      </c>
      <c r="Q94" s="91">
        <f t="shared" si="4"/>
        <v>39479.03</v>
      </c>
      <c r="R94" s="91"/>
      <c r="S94" s="91"/>
      <c r="T94" s="91"/>
    </row>
    <row r="95" spans="1:20" x14ac:dyDescent="0.25">
      <c r="A95" s="89" t="s">
        <v>281</v>
      </c>
      <c r="B95" s="90">
        <v>56</v>
      </c>
      <c r="C95" s="91">
        <v>11381.18</v>
      </c>
      <c r="D95" s="91">
        <v>9926.69</v>
      </c>
      <c r="E95" s="91">
        <v>51588.4</v>
      </c>
      <c r="F95" s="91">
        <v>3824.79</v>
      </c>
      <c r="G95" s="91">
        <v>2332.21</v>
      </c>
      <c r="H95" s="91">
        <v>1399.32</v>
      </c>
      <c r="I95" s="91">
        <v>0</v>
      </c>
      <c r="J95" s="91">
        <v>4421.88</v>
      </c>
      <c r="K95" s="91">
        <v>8732.26</v>
      </c>
      <c r="L95" s="91">
        <f>SUM(20896.6+287.35+1750.3)</f>
        <v>22934.249999999996</v>
      </c>
      <c r="M95" s="91">
        <f t="shared" si="6"/>
        <v>116540.98000000001</v>
      </c>
      <c r="N95" s="91">
        <v>13482.09</v>
      </c>
      <c r="O95" s="91">
        <f>SUM(840+11491.69)</f>
        <v>12331.69</v>
      </c>
      <c r="P95" s="91">
        <v>23095.41</v>
      </c>
      <c r="Q95" s="91">
        <f t="shared" si="4"/>
        <v>165450.17000000001</v>
      </c>
      <c r="R95" s="91"/>
      <c r="S95" s="91"/>
      <c r="T95" s="91"/>
    </row>
    <row r="96" spans="1:20" x14ac:dyDescent="0.25">
      <c r="A96" s="89" t="s">
        <v>282</v>
      </c>
      <c r="B96" s="90">
        <v>29</v>
      </c>
      <c r="C96" s="91">
        <v>1481.39</v>
      </c>
      <c r="D96" s="91">
        <v>1481.36</v>
      </c>
      <c r="E96" s="91">
        <v>7758.93</v>
      </c>
      <c r="F96" s="91">
        <v>1335.65</v>
      </c>
      <c r="G96" s="91">
        <v>679.94</v>
      </c>
      <c r="H96" s="91">
        <v>621.69000000000005</v>
      </c>
      <c r="I96" s="91">
        <v>194.26</v>
      </c>
      <c r="J96" s="91">
        <v>0</v>
      </c>
      <c r="K96" s="91">
        <v>1084.95</v>
      </c>
      <c r="L96" s="91">
        <v>0</v>
      </c>
      <c r="M96" s="91">
        <f>SUM(C96:L96)</f>
        <v>14638.170000000002</v>
      </c>
      <c r="N96" s="91">
        <v>1879.7</v>
      </c>
      <c r="O96" s="91">
        <v>2984.95</v>
      </c>
      <c r="P96" s="91">
        <v>2323.79</v>
      </c>
      <c r="Q96" s="91">
        <f>SUM(M96:P96)</f>
        <v>21826.610000000004</v>
      </c>
      <c r="R96" s="91"/>
      <c r="S96" s="91"/>
      <c r="T96" s="91"/>
    </row>
    <row r="97" spans="1:20" x14ac:dyDescent="0.25">
      <c r="A97" s="89" t="s">
        <v>283</v>
      </c>
      <c r="B97" s="90">
        <v>6</v>
      </c>
      <c r="C97" s="91">
        <v>408.95</v>
      </c>
      <c r="D97" s="91">
        <v>573.57000000000005</v>
      </c>
      <c r="E97" s="91">
        <v>1605.65</v>
      </c>
      <c r="F97" s="91">
        <v>596.67999999999995</v>
      </c>
      <c r="G97" s="91">
        <v>234.65</v>
      </c>
      <c r="H97" s="91">
        <v>719.41</v>
      </c>
      <c r="I97" s="91">
        <v>227.95</v>
      </c>
      <c r="J97" s="91">
        <v>0</v>
      </c>
      <c r="K97" s="91">
        <v>3.49</v>
      </c>
      <c r="L97" s="91">
        <v>229.19</v>
      </c>
      <c r="M97" s="91">
        <f t="shared" si="6"/>
        <v>4599.5399999999991</v>
      </c>
      <c r="N97" s="91">
        <v>602.45000000000005</v>
      </c>
      <c r="O97" s="91">
        <v>921.11</v>
      </c>
      <c r="P97" s="91">
        <f>SUM(454.54+90)</f>
        <v>544.54</v>
      </c>
      <c r="Q97" s="91">
        <f t="shared" si="4"/>
        <v>6667.6399999999985</v>
      </c>
      <c r="R97" s="91"/>
      <c r="S97" s="91"/>
      <c r="T97" s="91"/>
    </row>
    <row r="98" spans="1:20" x14ac:dyDescent="0.25">
      <c r="A98" s="89" t="s">
        <v>284</v>
      </c>
      <c r="B98" s="90">
        <v>35</v>
      </c>
      <c r="C98" s="91">
        <v>2051.6799999999998</v>
      </c>
      <c r="D98" s="91">
        <v>3043.92</v>
      </c>
      <c r="E98" s="91">
        <f>SUM(868.73+10314.65)</f>
        <v>11183.38</v>
      </c>
      <c r="F98" s="91">
        <v>1715.34</v>
      </c>
      <c r="G98" s="91">
        <f>SUM(975.39+437.23)</f>
        <v>1412.62</v>
      </c>
      <c r="H98" s="91">
        <v>1639.73</v>
      </c>
      <c r="I98" s="91">
        <v>235.46</v>
      </c>
      <c r="J98" s="91">
        <v>1395.25</v>
      </c>
      <c r="K98" s="91">
        <f>SUM(233.56+339.35)</f>
        <v>572.91000000000008</v>
      </c>
      <c r="L98" s="91">
        <v>0</v>
      </c>
      <c r="M98" s="91">
        <f t="shared" si="6"/>
        <v>23250.289999999997</v>
      </c>
      <c r="N98" s="91">
        <f>SUM(777.69+2188.59)</f>
        <v>2966.28</v>
      </c>
      <c r="O98" s="91">
        <f>SUM(4576.02+74)</f>
        <v>4650.0200000000004</v>
      </c>
      <c r="P98" s="91">
        <f>SUM(555+2288.07)</f>
        <v>2843.07</v>
      </c>
      <c r="Q98" s="91">
        <f t="shared" si="4"/>
        <v>33709.659999999996</v>
      </c>
      <c r="R98" s="91"/>
      <c r="S98" s="91"/>
      <c r="T98" s="91"/>
    </row>
    <row r="99" spans="1:20" x14ac:dyDescent="0.25">
      <c r="A99" s="89" t="s">
        <v>285</v>
      </c>
      <c r="B99" s="90">
        <v>40</v>
      </c>
      <c r="C99" s="91">
        <v>4837.6400000000003</v>
      </c>
      <c r="D99" s="91">
        <v>4325.63</v>
      </c>
      <c r="E99" s="91">
        <v>22010.79</v>
      </c>
      <c r="F99" s="91">
        <v>6344.44</v>
      </c>
      <c r="G99" s="91">
        <v>1784.38</v>
      </c>
      <c r="H99" s="91">
        <v>793.05</v>
      </c>
      <c r="I99" s="91">
        <v>515.49</v>
      </c>
      <c r="J99" s="91">
        <v>0</v>
      </c>
      <c r="K99" s="91">
        <v>6.95</v>
      </c>
      <c r="L99" s="91">
        <v>0</v>
      </c>
      <c r="M99" s="91">
        <f t="shared" si="6"/>
        <v>40618.369999999995</v>
      </c>
      <c r="N99" s="91">
        <v>5262.09</v>
      </c>
      <c r="O99" s="91">
        <v>8123.68</v>
      </c>
      <c r="P99" s="91">
        <f>SUM(4021.81+600)</f>
        <v>4621.8099999999995</v>
      </c>
      <c r="Q99" s="91">
        <f t="shared" si="4"/>
        <v>58625.94999999999</v>
      </c>
      <c r="R99" s="91"/>
      <c r="S99" s="91"/>
      <c r="T99" s="91"/>
    </row>
    <row r="100" spans="1:20" x14ac:dyDescent="0.25">
      <c r="A100" s="89" t="s">
        <v>286</v>
      </c>
      <c r="B100" s="90">
        <v>44</v>
      </c>
      <c r="C100" s="91">
        <v>8904.9500000000007</v>
      </c>
      <c r="D100" s="91">
        <v>13490.48</v>
      </c>
      <c r="E100" s="91">
        <v>48781.24</v>
      </c>
      <c r="F100" s="91">
        <v>9561.91</v>
      </c>
      <c r="G100" s="91">
        <v>4379.4799999999996</v>
      </c>
      <c r="H100" s="91">
        <v>2678.85</v>
      </c>
      <c r="I100" s="91">
        <v>583.91999999999996</v>
      </c>
      <c r="J100" s="91">
        <v>0</v>
      </c>
      <c r="K100" s="91">
        <v>59.4</v>
      </c>
      <c r="L100" s="91">
        <v>6013.59</v>
      </c>
      <c r="M100" s="91">
        <f t="shared" si="6"/>
        <v>94453.819999999992</v>
      </c>
      <c r="N100" s="91">
        <f>SUM(3400.91)</f>
        <v>3400.91</v>
      </c>
      <c r="O100" s="91">
        <f>SUM(88+18820.4)</f>
        <v>18908.400000000001</v>
      </c>
      <c r="P100" s="91">
        <f>SUM(9410.2+660)</f>
        <v>10070.200000000001</v>
      </c>
      <c r="Q100" s="91">
        <f t="shared" si="4"/>
        <v>126833.33</v>
      </c>
      <c r="R100" s="91"/>
      <c r="S100" s="91"/>
      <c r="T100" s="91"/>
    </row>
    <row r="101" spans="1:20" x14ac:dyDescent="0.25">
      <c r="A101" s="89" t="s">
        <v>287</v>
      </c>
      <c r="B101" s="90">
        <v>31</v>
      </c>
      <c r="C101" s="91">
        <v>2644.78</v>
      </c>
      <c r="D101" s="91">
        <v>2189.5300000000002</v>
      </c>
      <c r="E101" s="91">
        <v>8888.14</v>
      </c>
      <c r="F101" s="91">
        <v>1083.93</v>
      </c>
      <c r="G101" s="91">
        <v>1300.7</v>
      </c>
      <c r="H101" s="91">
        <v>783.65</v>
      </c>
      <c r="I101" s="91">
        <v>0</v>
      </c>
      <c r="J101" s="91">
        <v>0</v>
      </c>
      <c r="K101" s="91">
        <v>34.14</v>
      </c>
      <c r="L101" s="91">
        <v>0</v>
      </c>
      <c r="M101" s="91">
        <f t="shared" si="6"/>
        <v>16924.870000000003</v>
      </c>
      <c r="N101" s="91">
        <f>SUM(1601.07+676.85)</f>
        <v>2277.92</v>
      </c>
      <c r="O101" s="91">
        <f>SUM(62+3384.93)</f>
        <v>3446.93</v>
      </c>
      <c r="P101" s="91">
        <f>SUM(465+1692.5)</f>
        <v>2157.5</v>
      </c>
      <c r="Q101" s="91">
        <f t="shared" si="4"/>
        <v>24807.22</v>
      </c>
      <c r="R101" s="91"/>
      <c r="S101" s="91"/>
      <c r="T101" s="91"/>
    </row>
    <row r="102" spans="1:20" x14ac:dyDescent="0.25">
      <c r="A102" s="89" t="s">
        <v>288</v>
      </c>
      <c r="B102" s="90">
        <v>127</v>
      </c>
      <c r="C102" s="91">
        <v>13891.72</v>
      </c>
      <c r="D102" s="91">
        <v>5807.18</v>
      </c>
      <c r="E102" s="91">
        <f>SUM(51290.27+2801.25)</f>
        <v>54091.519999999997</v>
      </c>
      <c r="F102" s="91">
        <v>7518.49</v>
      </c>
      <c r="G102" s="91">
        <v>3415.99</v>
      </c>
      <c r="H102" s="91">
        <v>1708.09</v>
      </c>
      <c r="I102" s="91">
        <v>0</v>
      </c>
      <c r="J102" s="91">
        <v>0</v>
      </c>
      <c r="K102" s="91">
        <v>0</v>
      </c>
      <c r="L102" s="91">
        <v>0</v>
      </c>
      <c r="M102" s="91">
        <f t="shared" si="6"/>
        <v>86432.99</v>
      </c>
      <c r="N102" s="91">
        <v>10886.73</v>
      </c>
      <c r="O102" s="91">
        <v>17540.650000000001</v>
      </c>
      <c r="P102" s="91">
        <v>12580.38</v>
      </c>
      <c r="Q102" s="91">
        <f t="shared" si="4"/>
        <v>127440.75</v>
      </c>
      <c r="R102" s="91"/>
      <c r="S102" s="91"/>
      <c r="T102" s="91"/>
    </row>
    <row r="103" spans="1:20" x14ac:dyDescent="0.25">
      <c r="A103" s="89" t="s">
        <v>289</v>
      </c>
      <c r="B103" s="90">
        <v>0</v>
      </c>
      <c r="C103" s="91">
        <v>0</v>
      </c>
      <c r="D103" s="91">
        <v>0</v>
      </c>
      <c r="E103" s="91">
        <v>0</v>
      </c>
      <c r="F103" s="91">
        <v>0</v>
      </c>
      <c r="G103" s="91">
        <v>0</v>
      </c>
      <c r="H103" s="91">
        <v>0</v>
      </c>
      <c r="I103" s="91">
        <v>0</v>
      </c>
      <c r="J103" s="91">
        <v>0</v>
      </c>
      <c r="K103" s="91">
        <v>0</v>
      </c>
      <c r="L103" s="91">
        <v>0</v>
      </c>
      <c r="M103" s="91">
        <f t="shared" si="6"/>
        <v>0</v>
      </c>
      <c r="N103" s="91">
        <v>0</v>
      </c>
      <c r="O103" s="91">
        <v>0</v>
      </c>
      <c r="P103" s="91">
        <v>0</v>
      </c>
      <c r="Q103" s="91">
        <f t="shared" si="4"/>
        <v>0</v>
      </c>
      <c r="R103" s="91"/>
      <c r="S103" s="91"/>
      <c r="T103" s="91"/>
    </row>
    <row r="104" spans="1:20" x14ac:dyDescent="0.25">
      <c r="A104" s="89" t="s">
        <v>290</v>
      </c>
      <c r="B104" s="90">
        <v>59</v>
      </c>
      <c r="C104" s="91">
        <v>4562.88</v>
      </c>
      <c r="D104" s="91">
        <v>2966.28</v>
      </c>
      <c r="E104" s="91">
        <v>15596.04</v>
      </c>
      <c r="F104" s="91">
        <v>3029.48</v>
      </c>
      <c r="G104" s="91">
        <v>2618.04</v>
      </c>
      <c r="H104" s="91">
        <v>1579.03</v>
      </c>
      <c r="I104" s="91">
        <v>336.66</v>
      </c>
      <c r="J104" s="91">
        <v>0</v>
      </c>
      <c r="K104" s="91">
        <v>24.67</v>
      </c>
      <c r="L104" s="91">
        <v>0</v>
      </c>
      <c r="M104" s="91">
        <f t="shared" si="6"/>
        <v>30713.079999999998</v>
      </c>
      <c r="N104" s="91">
        <v>4071.74</v>
      </c>
      <c r="O104" s="91">
        <v>6213.38</v>
      </c>
      <c r="P104" s="91">
        <v>3932.7</v>
      </c>
      <c r="Q104" s="91">
        <f t="shared" si="4"/>
        <v>44930.899999999994</v>
      </c>
      <c r="R104" s="91"/>
      <c r="S104" s="91"/>
      <c r="T104" s="91"/>
    </row>
    <row r="105" spans="1:20" x14ac:dyDescent="0.25">
      <c r="A105" s="89" t="s">
        <v>291</v>
      </c>
      <c r="B105" s="90">
        <v>42</v>
      </c>
      <c r="C105" s="91">
        <v>3734.88</v>
      </c>
      <c r="D105" s="91">
        <v>2471.12</v>
      </c>
      <c r="E105" s="91">
        <v>17266.12</v>
      </c>
      <c r="F105" s="91">
        <v>3214.42</v>
      </c>
      <c r="G105" s="91">
        <v>1377.58</v>
      </c>
      <c r="H105" s="91">
        <v>0</v>
      </c>
      <c r="I105" s="91">
        <v>0</v>
      </c>
      <c r="J105" s="91">
        <v>0</v>
      </c>
      <c r="K105" s="91">
        <v>3.81</v>
      </c>
      <c r="L105" s="91">
        <v>0</v>
      </c>
      <c r="M105" s="91">
        <f t="shared" si="6"/>
        <v>28067.930000000004</v>
      </c>
      <c r="N105" s="91">
        <v>3686.33</v>
      </c>
      <c r="O105" s="91">
        <f>SUM(2764.84+630)</f>
        <v>3394.84</v>
      </c>
      <c r="P105" s="91">
        <v>5613.57</v>
      </c>
      <c r="Q105" s="91">
        <f t="shared" si="4"/>
        <v>40762.670000000006</v>
      </c>
      <c r="R105" s="91"/>
      <c r="S105" s="91"/>
      <c r="T105" s="91"/>
    </row>
    <row r="106" spans="1:20" x14ac:dyDescent="0.25">
      <c r="A106" s="89" t="s">
        <v>292</v>
      </c>
      <c r="B106" s="90">
        <v>46</v>
      </c>
      <c r="C106" s="91">
        <v>4263.37</v>
      </c>
      <c r="D106" s="91">
        <v>2561.36</v>
      </c>
      <c r="E106" s="91">
        <v>18241.61</v>
      </c>
      <c r="F106" s="91">
        <v>2131.6799999999998</v>
      </c>
      <c r="G106" s="91">
        <v>1572.6</v>
      </c>
      <c r="H106" s="91">
        <v>1210.1600000000001</v>
      </c>
      <c r="I106" s="91">
        <v>314.52</v>
      </c>
      <c r="J106" s="91">
        <v>2096.73</v>
      </c>
      <c r="K106" s="91">
        <v>2.85</v>
      </c>
      <c r="L106" s="91">
        <v>2306.38</v>
      </c>
      <c r="M106" s="91">
        <f t="shared" si="6"/>
        <v>34701.259999999995</v>
      </c>
      <c r="N106" s="91">
        <v>3301.98</v>
      </c>
      <c r="O106" s="91">
        <v>6984.29</v>
      </c>
      <c r="P106" s="91">
        <v>4108.1400000000003</v>
      </c>
      <c r="Q106" s="91">
        <f t="shared" si="4"/>
        <v>49095.67</v>
      </c>
      <c r="R106" s="91"/>
      <c r="S106" s="91"/>
      <c r="T106" s="91"/>
    </row>
    <row r="107" spans="1:20" x14ac:dyDescent="0.25">
      <c r="A107" s="89" t="s">
        <v>293</v>
      </c>
      <c r="B107" s="90">
        <v>66</v>
      </c>
      <c r="C107" s="91">
        <v>15132.6</v>
      </c>
      <c r="D107" s="91">
        <v>9514.4500000000007</v>
      </c>
      <c r="E107" s="91">
        <v>69957.22</v>
      </c>
      <c r="F107" s="91">
        <v>7318.22</v>
      </c>
      <c r="G107" s="91">
        <v>5457.68</v>
      </c>
      <c r="H107" s="91">
        <v>2232.67</v>
      </c>
      <c r="I107" s="91">
        <v>0</v>
      </c>
      <c r="J107" s="91">
        <v>0</v>
      </c>
      <c r="K107" s="91">
        <v>0</v>
      </c>
      <c r="L107" s="91">
        <v>0</v>
      </c>
      <c r="M107" s="91">
        <f t="shared" si="6"/>
        <v>109612.84000000001</v>
      </c>
      <c r="N107" s="91">
        <v>13657.08</v>
      </c>
      <c r="O107" s="91">
        <v>21812.11</v>
      </c>
      <c r="P107" s="91">
        <f>SUM(10840.08+990)</f>
        <v>11830.08</v>
      </c>
      <c r="Q107" s="91">
        <f t="shared" si="4"/>
        <v>156912.11000000002</v>
      </c>
      <c r="R107" s="91"/>
      <c r="S107" s="91"/>
      <c r="T107" s="91"/>
    </row>
    <row r="108" spans="1:20" x14ac:dyDescent="0.25">
      <c r="A108" s="89" t="s">
        <v>294</v>
      </c>
      <c r="B108" s="90">
        <v>52</v>
      </c>
      <c r="C108" s="91">
        <v>13930.92</v>
      </c>
      <c r="D108" s="91">
        <v>12634.13</v>
      </c>
      <c r="E108" s="91">
        <v>83471.240000000005</v>
      </c>
      <c r="F108" s="91">
        <v>3996.57</v>
      </c>
      <c r="G108" s="91">
        <v>4282.03</v>
      </c>
      <c r="H108" s="91">
        <v>2317.4499999999998</v>
      </c>
      <c r="I108" s="91">
        <v>1141.8699999999999</v>
      </c>
      <c r="J108" s="91">
        <v>0</v>
      </c>
      <c r="K108" s="91">
        <v>8833.0300000000007</v>
      </c>
      <c r="L108" s="91">
        <f>SUM(3425.64+8.71)</f>
        <v>3434.35</v>
      </c>
      <c r="M108" s="91">
        <f t="shared" si="6"/>
        <v>134041.59</v>
      </c>
      <c r="N108" s="91">
        <v>15583.97</v>
      </c>
      <c r="O108" s="91">
        <v>26829.08</v>
      </c>
      <c r="P108" s="91">
        <f>SUM(780+13362.62)</f>
        <v>14142.62</v>
      </c>
      <c r="Q108" s="91">
        <f t="shared" si="4"/>
        <v>190597.26</v>
      </c>
      <c r="R108" s="91"/>
      <c r="S108" s="91"/>
      <c r="T108" s="91"/>
    </row>
    <row r="109" spans="1:20" x14ac:dyDescent="0.25">
      <c r="A109" s="89" t="s">
        <v>295</v>
      </c>
      <c r="B109" s="90">
        <v>36</v>
      </c>
      <c r="C109" s="91">
        <v>6306.66</v>
      </c>
      <c r="D109" s="91">
        <v>5787.86</v>
      </c>
      <c r="E109" s="91">
        <v>27035.919999999998</v>
      </c>
      <c r="F109" s="91">
        <v>3153.31</v>
      </c>
      <c r="G109" s="91">
        <v>0</v>
      </c>
      <c r="H109" s="91">
        <v>1025.56</v>
      </c>
      <c r="I109" s="91">
        <v>0</v>
      </c>
      <c r="J109" s="91">
        <v>2016.07</v>
      </c>
      <c r="K109" s="91">
        <v>0</v>
      </c>
      <c r="L109" s="91">
        <v>0</v>
      </c>
      <c r="M109" s="91">
        <f t="shared" si="6"/>
        <v>45325.38</v>
      </c>
      <c r="N109" s="91">
        <v>5738.94</v>
      </c>
      <c r="O109" s="91">
        <v>8993.08</v>
      </c>
      <c r="P109" s="91">
        <f>SUM(540+4496.54)</f>
        <v>5036.54</v>
      </c>
      <c r="Q109" s="91">
        <f t="shared" si="4"/>
        <v>65093.94</v>
      </c>
      <c r="R109" s="91"/>
      <c r="S109" s="91"/>
      <c r="T109" s="91"/>
    </row>
    <row r="110" spans="1:20" x14ac:dyDescent="0.25">
      <c r="A110" s="89" t="s">
        <v>296</v>
      </c>
      <c r="B110" s="90">
        <v>21</v>
      </c>
      <c r="C110" s="91">
        <v>1823.03</v>
      </c>
      <c r="D110" s="91">
        <v>1852.07</v>
      </c>
      <c r="E110" s="91">
        <v>9742.7000000000007</v>
      </c>
      <c r="F110" s="91">
        <v>732.21</v>
      </c>
      <c r="G110" s="91">
        <v>597.71</v>
      </c>
      <c r="H110" s="91">
        <v>512.52</v>
      </c>
      <c r="I110" s="91">
        <v>130.01</v>
      </c>
      <c r="J110" s="91">
        <v>0</v>
      </c>
      <c r="K110" s="91">
        <v>779</v>
      </c>
      <c r="L110" s="91">
        <v>90.73</v>
      </c>
      <c r="M110" s="91">
        <f t="shared" si="6"/>
        <v>16259.980000000001</v>
      </c>
      <c r="N110" s="91">
        <v>1977.14</v>
      </c>
      <c r="O110" s="91">
        <v>3138.6</v>
      </c>
      <c r="P110" s="91">
        <f>SUM(1569.29+315)</f>
        <v>1884.29</v>
      </c>
      <c r="Q110" s="91">
        <f t="shared" si="4"/>
        <v>23260.010000000002</v>
      </c>
      <c r="R110" s="91"/>
      <c r="S110" s="91"/>
      <c r="T110" s="91"/>
    </row>
    <row r="111" spans="1:20" x14ac:dyDescent="0.25">
      <c r="A111" s="89" t="s">
        <v>297</v>
      </c>
      <c r="B111" s="90">
        <v>27</v>
      </c>
      <c r="C111" s="91">
        <v>2669.17</v>
      </c>
      <c r="D111" s="91">
        <v>2183.77</v>
      </c>
      <c r="E111" s="91">
        <v>6523.11</v>
      </c>
      <c r="F111" s="91">
        <v>1561.48</v>
      </c>
      <c r="G111" s="91">
        <v>704.26</v>
      </c>
      <c r="H111" s="91">
        <v>891.94</v>
      </c>
      <c r="I111" s="91">
        <v>0</v>
      </c>
      <c r="J111" s="91">
        <v>0</v>
      </c>
      <c r="K111" s="91">
        <v>0</v>
      </c>
      <c r="L111" s="91">
        <v>1777.52</v>
      </c>
      <c r="M111" s="91">
        <f t="shared" si="6"/>
        <v>16311.25</v>
      </c>
      <c r="N111" s="91">
        <v>634.63</v>
      </c>
      <c r="O111" s="91">
        <f>SUM(3176.92+26.1)</f>
        <v>3203.02</v>
      </c>
      <c r="P111" s="91">
        <v>1974.9</v>
      </c>
      <c r="Q111" s="91">
        <f t="shared" si="4"/>
        <v>22123.800000000003</v>
      </c>
      <c r="R111" s="91"/>
      <c r="S111" s="91"/>
      <c r="T111" s="91"/>
    </row>
    <row r="112" spans="1:20" x14ac:dyDescent="0.25">
      <c r="A112" s="89" t="s">
        <v>298</v>
      </c>
      <c r="B112" s="90">
        <v>5</v>
      </c>
      <c r="C112" s="91">
        <v>242.64</v>
      </c>
      <c r="D112" s="91">
        <v>196.9</v>
      </c>
      <c r="E112" s="91">
        <v>839.32</v>
      </c>
      <c r="F112" s="91">
        <v>117.35</v>
      </c>
      <c r="G112" s="91">
        <v>85.52</v>
      </c>
      <c r="H112" s="91">
        <v>76.900000000000006</v>
      </c>
      <c r="I112" s="91">
        <v>19.89</v>
      </c>
      <c r="J112" s="91">
        <v>0</v>
      </c>
      <c r="K112" s="91">
        <v>0.46</v>
      </c>
      <c r="L112" s="91">
        <v>0</v>
      </c>
      <c r="M112" s="91">
        <f t="shared" si="6"/>
        <v>1578.9800000000002</v>
      </c>
      <c r="N112" s="91">
        <v>202.99</v>
      </c>
      <c r="O112" s="91">
        <v>325.81</v>
      </c>
      <c r="P112" s="91">
        <v>262.89</v>
      </c>
      <c r="Q112" s="91">
        <f t="shared" si="4"/>
        <v>2370.67</v>
      </c>
      <c r="R112" s="91"/>
      <c r="S112" s="91"/>
      <c r="T112" s="91"/>
    </row>
    <row r="113" spans="1:20" x14ac:dyDescent="0.25">
      <c r="A113" s="89" t="s">
        <v>299</v>
      </c>
      <c r="B113" s="90">
        <v>55</v>
      </c>
      <c r="C113" s="91">
        <v>2417.39</v>
      </c>
      <c r="D113" s="91">
        <v>2025.17</v>
      </c>
      <c r="E113" s="91">
        <v>10462.09</v>
      </c>
      <c r="F113" s="91">
        <v>865.62</v>
      </c>
      <c r="G113" s="91">
        <v>1591.38</v>
      </c>
      <c r="H113" s="91">
        <v>0</v>
      </c>
      <c r="I113" s="91">
        <v>0</v>
      </c>
      <c r="J113" s="91">
        <v>0</v>
      </c>
      <c r="K113" s="91">
        <v>1004.04</v>
      </c>
      <c r="L113" s="91">
        <v>0</v>
      </c>
      <c r="M113" s="91">
        <f t="shared" si="6"/>
        <v>18365.690000000002</v>
      </c>
      <c r="N113" s="91">
        <v>2386.9</v>
      </c>
      <c r="O113" s="91">
        <v>3695.15</v>
      </c>
      <c r="P113" s="91">
        <v>4157.53</v>
      </c>
      <c r="Q113" s="91">
        <f t="shared" si="4"/>
        <v>28605.270000000004</v>
      </c>
      <c r="R113" s="91"/>
      <c r="S113" s="91"/>
      <c r="T113" s="91"/>
    </row>
    <row r="114" spans="1:20" x14ac:dyDescent="0.25">
      <c r="A114" s="89" t="s">
        <v>300</v>
      </c>
      <c r="B114" s="90">
        <v>13</v>
      </c>
      <c r="C114" s="91">
        <v>1302.42</v>
      </c>
      <c r="D114" s="91">
        <v>962.64</v>
      </c>
      <c r="E114" s="91">
        <v>7531.2</v>
      </c>
      <c r="F114" s="91">
        <v>1270.4100000000001</v>
      </c>
      <c r="G114" s="91">
        <v>427.02</v>
      </c>
      <c r="H114" s="91">
        <v>448.36</v>
      </c>
      <c r="I114" s="91">
        <v>0</v>
      </c>
      <c r="J114" s="91">
        <v>0</v>
      </c>
      <c r="K114" s="91">
        <v>2.04</v>
      </c>
      <c r="L114" s="91">
        <v>35.1</v>
      </c>
      <c r="M114" s="91">
        <f t="shared" si="6"/>
        <v>11979.190000000002</v>
      </c>
      <c r="N114" s="91">
        <v>1592.95</v>
      </c>
      <c r="O114" s="91">
        <v>2395.8200000000002</v>
      </c>
      <c r="P114" s="91">
        <v>1379.93</v>
      </c>
      <c r="Q114" s="91">
        <f t="shared" si="4"/>
        <v>17347.890000000003</v>
      </c>
      <c r="R114" s="91"/>
      <c r="S114" s="91"/>
      <c r="T114" s="91"/>
    </row>
    <row r="115" spans="1:20" x14ac:dyDescent="0.25">
      <c r="A115" s="89" t="s">
        <v>301</v>
      </c>
      <c r="B115" s="90">
        <v>11</v>
      </c>
      <c r="C115" s="91">
        <v>820.07</v>
      </c>
      <c r="D115" s="91">
        <v>758.36</v>
      </c>
      <c r="E115" s="91">
        <v>4564.1400000000003</v>
      </c>
      <c r="F115" s="91">
        <v>517.59</v>
      </c>
      <c r="G115" s="91">
        <v>285.69</v>
      </c>
      <c r="H115" s="91">
        <v>275.58999999999997</v>
      </c>
      <c r="I115" s="91">
        <v>0</v>
      </c>
      <c r="J115" s="91">
        <v>0</v>
      </c>
      <c r="K115" s="91">
        <v>0</v>
      </c>
      <c r="L115" s="91">
        <v>0</v>
      </c>
      <c r="M115" s="91">
        <f t="shared" si="6"/>
        <v>7221.4400000000005</v>
      </c>
      <c r="N115" s="91">
        <v>837.64</v>
      </c>
      <c r="O115" s="91">
        <v>1453.03</v>
      </c>
      <c r="P115" s="91">
        <f>SUM(880.47+55.01)</f>
        <v>935.48</v>
      </c>
      <c r="Q115" s="91">
        <f t="shared" si="4"/>
        <v>10447.59</v>
      </c>
      <c r="R115" s="91"/>
      <c r="S115" s="91"/>
      <c r="T115" s="91"/>
    </row>
    <row r="116" spans="1:20" x14ac:dyDescent="0.25">
      <c r="A116" s="89" t="s">
        <v>302</v>
      </c>
      <c r="B116" s="90">
        <v>133</v>
      </c>
      <c r="C116" s="91">
        <v>26301.85</v>
      </c>
      <c r="D116" s="91">
        <v>35250.43</v>
      </c>
      <c r="E116" s="91">
        <v>77443.41</v>
      </c>
      <c r="F116" s="91">
        <v>8839.16</v>
      </c>
      <c r="G116" s="91">
        <v>4958.5200000000004</v>
      </c>
      <c r="H116" s="91">
        <v>1332.33</v>
      </c>
      <c r="I116" s="91">
        <v>539.04</v>
      </c>
      <c r="J116" s="91">
        <v>0</v>
      </c>
      <c r="K116" s="91">
        <f>SUM(3.84+3672.48)</f>
        <v>3676.32</v>
      </c>
      <c r="L116" s="91">
        <v>635.14</v>
      </c>
      <c r="M116" s="91">
        <f t="shared" si="6"/>
        <v>158976.20000000001</v>
      </c>
      <c r="N116" s="91">
        <v>19141.740000000002</v>
      </c>
      <c r="O116" s="91">
        <v>31263.26</v>
      </c>
      <c r="P116" s="91">
        <f>SUM(1995+15498.63)</f>
        <v>17493.629999999997</v>
      </c>
      <c r="Q116" s="91">
        <f t="shared" ref="Q116:Q122" si="7">SUM(M116:P116)</f>
        <v>226874.83000000002</v>
      </c>
      <c r="R116" s="91"/>
      <c r="S116" s="91"/>
      <c r="T116" s="91"/>
    </row>
    <row r="117" spans="1:20" x14ac:dyDescent="0.25">
      <c r="A117" s="89" t="s">
        <v>303</v>
      </c>
      <c r="B117" s="90">
        <v>22</v>
      </c>
      <c r="C117" s="91">
        <v>1822.28</v>
      </c>
      <c r="D117" s="91">
        <v>1612.93</v>
      </c>
      <c r="E117" s="91">
        <v>8991.8700000000008</v>
      </c>
      <c r="F117" s="91">
        <v>1299.49</v>
      </c>
      <c r="G117" s="91">
        <v>341.72</v>
      </c>
      <c r="H117" s="91">
        <v>1494.4</v>
      </c>
      <c r="I117" s="91">
        <v>0</v>
      </c>
      <c r="J117" s="91">
        <v>0</v>
      </c>
      <c r="K117" s="91">
        <f>SUM(993.84+2.21)</f>
        <v>996.05000000000007</v>
      </c>
      <c r="L117" s="91">
        <v>164.29</v>
      </c>
      <c r="M117" s="91">
        <f t="shared" si="6"/>
        <v>16723.030000000002</v>
      </c>
      <c r="N117" s="91">
        <v>2071.13</v>
      </c>
      <c r="O117" s="91">
        <v>3305.01</v>
      </c>
      <c r="P117" s="91">
        <f>SUM(1630.5+330)</f>
        <v>1960.5</v>
      </c>
      <c r="Q117" s="91">
        <f t="shared" si="7"/>
        <v>24059.670000000006</v>
      </c>
      <c r="R117" s="91"/>
      <c r="S117" s="91"/>
      <c r="T117" s="91"/>
    </row>
    <row r="118" spans="1:20" x14ac:dyDescent="0.25">
      <c r="A118" s="89" t="s">
        <v>304</v>
      </c>
      <c r="B118" s="90">
        <v>45</v>
      </c>
      <c r="C118" s="91">
        <v>2952.04</v>
      </c>
      <c r="D118" s="91">
        <v>3228.8</v>
      </c>
      <c r="E118" s="91">
        <v>11953.37</v>
      </c>
      <c r="F118" s="91">
        <v>2226.13</v>
      </c>
      <c r="G118" s="91">
        <v>725.93</v>
      </c>
      <c r="H118" s="91">
        <v>2298.6799999999998</v>
      </c>
      <c r="I118" s="91">
        <v>362.92</v>
      </c>
      <c r="J118" s="91">
        <v>68.31</v>
      </c>
      <c r="K118" s="91">
        <v>0</v>
      </c>
      <c r="L118" s="91">
        <v>0</v>
      </c>
      <c r="M118" s="91">
        <f t="shared" si="6"/>
        <v>23816.18</v>
      </c>
      <c r="N118" s="91">
        <v>3126.08</v>
      </c>
      <c r="O118" s="91">
        <v>4817.66</v>
      </c>
      <c r="P118" s="91">
        <f>SUM(2363.82+675)</f>
        <v>3038.82</v>
      </c>
      <c r="Q118" s="91">
        <f t="shared" si="7"/>
        <v>34798.740000000005</v>
      </c>
      <c r="R118" s="91"/>
      <c r="S118" s="91"/>
      <c r="T118" s="91"/>
    </row>
    <row r="119" spans="1:20" x14ac:dyDescent="0.25">
      <c r="A119" s="89" t="s">
        <v>305</v>
      </c>
      <c r="B119" s="90">
        <v>16</v>
      </c>
      <c r="C119" s="91">
        <v>1333.2</v>
      </c>
      <c r="D119" s="91">
        <v>2052.9299999999998</v>
      </c>
      <c r="E119" s="91">
        <v>5909.94</v>
      </c>
      <c r="F119" s="91">
        <v>873.65</v>
      </c>
      <c r="G119" s="91">
        <v>491.14</v>
      </c>
      <c r="H119" s="91">
        <v>681.76</v>
      </c>
      <c r="I119" s="91">
        <v>0</v>
      </c>
      <c r="J119" s="91">
        <v>655.05999999999995</v>
      </c>
      <c r="K119" s="91">
        <v>1.1299999999999999</v>
      </c>
      <c r="L119" s="91">
        <v>0</v>
      </c>
      <c r="M119" s="91">
        <f t="shared" si="6"/>
        <v>11998.809999999998</v>
      </c>
      <c r="N119" s="91">
        <f>SUM(1121.88+361.57)</f>
        <v>1483.45</v>
      </c>
      <c r="O119" s="91">
        <f>SUM(34+2397.78)</f>
        <v>2431.7800000000002</v>
      </c>
      <c r="P119" s="91">
        <f>SUM(170+1198.89)</f>
        <v>1368.89</v>
      </c>
      <c r="Q119" s="91">
        <f t="shared" si="7"/>
        <v>17282.93</v>
      </c>
      <c r="R119" s="91"/>
      <c r="S119" s="91"/>
      <c r="T119" s="91"/>
    </row>
    <row r="120" spans="1:20" x14ac:dyDescent="0.25">
      <c r="A120" s="89" t="s">
        <v>306</v>
      </c>
      <c r="B120" s="90">
        <v>149</v>
      </c>
      <c r="C120" s="91">
        <v>15328.3</v>
      </c>
      <c r="D120" s="91">
        <v>11587.98</v>
      </c>
      <c r="E120" s="91">
        <v>34984.339999999997</v>
      </c>
      <c r="F120" s="91">
        <v>6533.38</v>
      </c>
      <c r="G120" s="91">
        <v>5025.66</v>
      </c>
      <c r="H120" s="91">
        <v>6659.01</v>
      </c>
      <c r="I120" s="91">
        <v>1759.04</v>
      </c>
      <c r="J120" s="91">
        <v>0</v>
      </c>
      <c r="K120" s="91">
        <v>35.17</v>
      </c>
      <c r="L120" s="91">
        <v>0</v>
      </c>
      <c r="M120" s="91">
        <f t="shared" si="6"/>
        <v>81912.87999999999</v>
      </c>
      <c r="N120" s="91">
        <v>10604.09</v>
      </c>
      <c r="O120" s="91">
        <v>15253.24</v>
      </c>
      <c r="P120" s="91">
        <v>11317.27</v>
      </c>
      <c r="Q120" s="91">
        <f t="shared" si="7"/>
        <v>119087.48</v>
      </c>
      <c r="R120" s="91"/>
      <c r="S120" s="91"/>
      <c r="T120" s="91"/>
    </row>
    <row r="121" spans="1:20" x14ac:dyDescent="0.25">
      <c r="A121" s="92" t="s">
        <v>307</v>
      </c>
      <c r="B121" s="90">
        <v>15</v>
      </c>
      <c r="C121" s="91">
        <v>628.95000000000005</v>
      </c>
      <c r="D121" s="91">
        <v>544.77</v>
      </c>
      <c r="E121" s="91">
        <v>1776.18</v>
      </c>
      <c r="F121" s="91">
        <v>629.61</v>
      </c>
      <c r="G121" s="91">
        <v>281.54000000000002</v>
      </c>
      <c r="H121" s="91">
        <v>665.43</v>
      </c>
      <c r="I121" s="91">
        <v>238.05</v>
      </c>
      <c r="J121" s="91">
        <v>0</v>
      </c>
      <c r="K121" s="91">
        <v>10.79</v>
      </c>
      <c r="L121" s="91">
        <v>0</v>
      </c>
      <c r="M121" s="91">
        <f t="shared" si="6"/>
        <v>4775.3200000000006</v>
      </c>
      <c r="N121" s="91">
        <v>612.72</v>
      </c>
      <c r="O121" s="91">
        <v>955.06</v>
      </c>
      <c r="P121" s="91">
        <v>912.56</v>
      </c>
      <c r="Q121" s="91">
        <f t="shared" si="7"/>
        <v>7255.66</v>
      </c>
      <c r="R121" s="91"/>
      <c r="S121" s="91"/>
      <c r="T121" s="91"/>
    </row>
    <row r="122" spans="1:20" x14ac:dyDescent="0.25">
      <c r="A122" s="84" t="s">
        <v>308</v>
      </c>
      <c r="B122" s="103">
        <v>60</v>
      </c>
      <c r="C122" s="104">
        <v>58.16</v>
      </c>
      <c r="D122" s="104">
        <v>38.799999999999997</v>
      </c>
      <c r="E122" s="104">
        <v>198.79</v>
      </c>
      <c r="F122" s="104">
        <v>38.61</v>
      </c>
      <c r="G122" s="104">
        <v>33.369999999999997</v>
      </c>
      <c r="H122" s="104">
        <v>20.13</v>
      </c>
      <c r="I122" s="104">
        <v>4.29</v>
      </c>
      <c r="J122" s="104">
        <v>0</v>
      </c>
      <c r="K122" s="104">
        <v>0</v>
      </c>
      <c r="L122" s="104">
        <v>0</v>
      </c>
      <c r="M122" s="91">
        <f t="shared" si="6"/>
        <v>392.15000000000003</v>
      </c>
      <c r="N122" s="104">
        <v>51.86</v>
      </c>
      <c r="O122" s="104">
        <v>79.63</v>
      </c>
      <c r="P122" s="104">
        <v>53.82</v>
      </c>
      <c r="Q122" s="91">
        <f t="shared" si="7"/>
        <v>577.46000000000015</v>
      </c>
      <c r="R122" s="91"/>
      <c r="S122" s="91"/>
      <c r="T122" s="91"/>
    </row>
    <row r="123" spans="1:20" ht="15.75" thickBot="1" x14ac:dyDescent="0.3">
      <c r="A123" s="105" t="s">
        <v>309</v>
      </c>
      <c r="B123" s="106">
        <f>SUM(B3:B122)</f>
        <v>8112</v>
      </c>
      <c r="C123" s="107">
        <f t="shared" ref="C123:Q123" si="8">SUM(C3:C122)</f>
        <v>958705.26000000024</v>
      </c>
      <c r="D123" s="107">
        <f t="shared" si="8"/>
        <v>1118632.28</v>
      </c>
      <c r="E123" s="107">
        <f t="shared" si="8"/>
        <v>4601995.2100000028</v>
      </c>
      <c r="F123" s="107">
        <f t="shared" si="8"/>
        <v>444745.93999999983</v>
      </c>
      <c r="G123" s="107">
        <f t="shared" si="8"/>
        <v>241435.28</v>
      </c>
      <c r="H123" s="107">
        <f t="shared" si="8"/>
        <v>180101.43999999997</v>
      </c>
      <c r="I123" s="107">
        <f t="shared" si="8"/>
        <v>30126.83</v>
      </c>
      <c r="J123" s="107">
        <f t="shared" si="8"/>
        <v>92475.31</v>
      </c>
      <c r="K123" s="107">
        <f t="shared" si="8"/>
        <v>431708.86300000001</v>
      </c>
      <c r="L123" s="107">
        <f t="shared" si="8"/>
        <v>182905.55000000008</v>
      </c>
      <c r="M123" s="107">
        <f t="shared" si="8"/>
        <v>8282831.9630000005</v>
      </c>
      <c r="N123" s="107">
        <f t="shared" si="8"/>
        <v>1180090.2299999995</v>
      </c>
      <c r="O123" s="107">
        <f t="shared" si="8"/>
        <v>1951433.5999999999</v>
      </c>
      <c r="P123" s="107">
        <f t="shared" si="8"/>
        <v>1212673.612</v>
      </c>
      <c r="Q123" s="107">
        <f t="shared" si="8"/>
        <v>12627029.404999997</v>
      </c>
    </row>
    <row r="124" spans="1:20" ht="15.75" thickTop="1" x14ac:dyDescent="0.25">
      <c r="K124" s="1" t="s">
        <v>310</v>
      </c>
      <c r="L124" s="108" t="s">
        <v>311</v>
      </c>
    </row>
    <row r="125" spans="1:20" x14ac:dyDescent="0.25">
      <c r="A125" s="109" t="s">
        <v>312</v>
      </c>
      <c r="C125" s="108"/>
      <c r="D125" s="108"/>
      <c r="E125" s="108"/>
      <c r="F125" s="108"/>
      <c r="G125" s="108"/>
      <c r="H125" s="108"/>
      <c r="I125" s="108"/>
      <c r="J125" s="108"/>
      <c r="K125" s="110"/>
      <c r="L125" s="108" t="s">
        <v>313</v>
      </c>
      <c r="M125" s="108"/>
      <c r="N125" s="108"/>
      <c r="O125" s="108"/>
      <c r="P125" s="108"/>
      <c r="Q125" s="108"/>
    </row>
    <row r="126" spans="1:20" x14ac:dyDescent="0.25">
      <c r="A126" s="111"/>
      <c r="C126" s="112"/>
      <c r="D126" s="112"/>
      <c r="E126" s="112"/>
      <c r="F126" s="112"/>
      <c r="G126" s="112"/>
      <c r="H126" s="112"/>
      <c r="I126" s="112"/>
      <c r="J126" s="112"/>
      <c r="K126" s="113"/>
      <c r="L126" s="108" t="s">
        <v>314</v>
      </c>
      <c r="M126" s="112"/>
      <c r="N126" s="112"/>
      <c r="O126" s="112"/>
    </row>
    <row r="127" spans="1:20" x14ac:dyDescent="0.25">
      <c r="A127" s="109" t="s">
        <v>315</v>
      </c>
      <c r="C127" s="112"/>
      <c r="D127" s="112"/>
      <c r="E127" s="112"/>
      <c r="F127" s="112"/>
      <c r="G127" s="112"/>
      <c r="H127" s="112"/>
      <c r="I127" s="112"/>
      <c r="J127" s="112"/>
      <c r="K127" s="114"/>
      <c r="L127" s="108" t="s">
        <v>316</v>
      </c>
      <c r="M127" s="112"/>
      <c r="N127" s="112"/>
      <c r="O127" s="112"/>
    </row>
    <row r="128" spans="1:20" x14ac:dyDescent="0.25">
      <c r="A128" s="115"/>
      <c r="C128" s="112"/>
      <c r="D128" s="112"/>
      <c r="E128" s="112"/>
      <c r="F128" s="112"/>
      <c r="G128" s="112"/>
      <c r="H128" s="112"/>
      <c r="I128" s="112"/>
      <c r="J128" s="112"/>
      <c r="K128" s="112"/>
      <c r="L128" s="108"/>
      <c r="M128" s="112"/>
      <c r="N128" s="112"/>
      <c r="O128" s="112"/>
    </row>
    <row r="129" spans="1:15" x14ac:dyDescent="0.25">
      <c r="A129" s="116" t="s">
        <v>317</v>
      </c>
      <c r="C129" s="112"/>
      <c r="D129" s="112"/>
      <c r="E129" s="112"/>
      <c r="F129" s="112"/>
      <c r="G129" s="117"/>
      <c r="H129" s="117"/>
      <c r="I129" s="117"/>
      <c r="J129" s="117"/>
      <c r="K129" s="117"/>
      <c r="L129" s="117"/>
      <c r="M129" s="117"/>
      <c r="N129" s="117"/>
      <c r="O129" s="117"/>
    </row>
    <row r="130" spans="1:15" x14ac:dyDescent="0.25">
      <c r="A130" s="116" t="s">
        <v>318</v>
      </c>
      <c r="C130" s="112"/>
      <c r="D130" s="112"/>
      <c r="E130" s="112"/>
      <c r="F130" s="112"/>
      <c r="G130" s="117"/>
      <c r="H130" s="117"/>
      <c r="I130" s="117"/>
      <c r="J130" s="117"/>
      <c r="K130" s="117"/>
      <c r="L130" s="117"/>
      <c r="M130" s="117"/>
      <c r="N130" s="117"/>
      <c r="O130" s="117"/>
    </row>
    <row r="131" spans="1:15" x14ac:dyDescent="0.25">
      <c r="A131" s="116" t="s">
        <v>319</v>
      </c>
      <c r="C131" s="112"/>
      <c r="D131" s="112"/>
      <c r="E131" s="112"/>
      <c r="F131" s="112"/>
      <c r="G131" s="117"/>
      <c r="H131" s="117"/>
      <c r="I131" s="117"/>
      <c r="J131" s="117"/>
      <c r="K131" s="117"/>
      <c r="L131" s="117"/>
      <c r="M131" s="117"/>
      <c r="N131" s="117"/>
      <c r="O131" s="117"/>
    </row>
    <row r="132" spans="1:15" x14ac:dyDescent="0.25">
      <c r="A132" s="116" t="s">
        <v>320</v>
      </c>
      <c r="C132" s="112"/>
      <c r="D132" s="112"/>
      <c r="E132" s="112"/>
      <c r="F132" s="112"/>
      <c r="G132" s="117"/>
      <c r="H132" s="117"/>
      <c r="I132" s="117"/>
      <c r="J132" s="117"/>
      <c r="K132" s="117"/>
      <c r="L132" s="117"/>
      <c r="M132" s="117"/>
      <c r="N132" s="117"/>
      <c r="O132" s="117"/>
    </row>
    <row r="133" spans="1:15" x14ac:dyDescent="0.25">
      <c r="A133" s="118"/>
    </row>
    <row r="138" spans="1:15" x14ac:dyDescent="0.25">
      <c r="A138" s="89"/>
    </row>
  </sheetData>
  <sheetProtection algorithmName="SHA-512" hashValue="HZL/nKVE7IAtcf5FfmPBnpvZ1EHzGdjDPRXdJdQhr0Ppk77L3RlRHNYkgxUvuZNLDlvBg2BmqhDH+NRKN4wWZw==" saltValue="qr0s3KFk6JuS0n9y2pAl0A==" spinCount="100000" sheet="1" objects="1" scenarios="1"/>
  <mergeCells count="1">
    <mergeCell ref="A1:Q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28"/>
  <sheetViews>
    <sheetView workbookViewId="0">
      <pane ySplit="1" topLeftCell="A2" activePane="bottomLeft" state="frozen"/>
      <selection pane="bottomLeft" activeCell="D2" sqref="D2"/>
    </sheetView>
  </sheetViews>
  <sheetFormatPr defaultColWidth="9.140625" defaultRowHeight="15" x14ac:dyDescent="0.25"/>
  <cols>
    <col min="1" max="1" width="20.140625" style="12" customWidth="1"/>
    <col min="2" max="2" width="12.140625" style="2" customWidth="1"/>
    <col min="3" max="3" width="14.5703125" style="10" customWidth="1"/>
    <col min="4" max="4" width="12.42578125" style="2" customWidth="1"/>
    <col min="5" max="5" width="13.140625" style="2" customWidth="1"/>
    <col min="6" max="6" width="14.5703125" style="2" customWidth="1"/>
    <col min="7" max="7" width="14.28515625" style="2" customWidth="1"/>
    <col min="8" max="8" width="13.42578125" style="2" customWidth="1"/>
    <col min="9" max="10" width="13.140625" style="2" customWidth="1"/>
    <col min="11" max="11" width="13" style="2" customWidth="1"/>
    <col min="12" max="12" width="13.140625" style="2" customWidth="1"/>
    <col min="13" max="13" width="11.5703125" style="2" customWidth="1"/>
    <col min="14" max="14" width="13.140625" style="2" customWidth="1"/>
    <col min="15" max="15" width="12.5703125" style="2" customWidth="1"/>
    <col min="16" max="16" width="13.5703125" style="2" customWidth="1"/>
    <col min="17" max="17" width="14.140625" style="2" customWidth="1"/>
    <col min="18" max="18" width="15.28515625" style="2" customWidth="1"/>
    <col min="19" max="19" width="14" style="2" customWidth="1"/>
    <col min="20" max="20" width="21.140625" style="3" customWidth="1"/>
    <col min="21" max="16384" width="9.140625" style="2"/>
  </cols>
  <sheetData>
    <row r="1" spans="1:20" s="16" customFormat="1" ht="12.75" x14ac:dyDescent="0.2">
      <c r="A1" s="14" t="s">
        <v>0</v>
      </c>
      <c r="B1" s="15" t="s">
        <v>139</v>
      </c>
      <c r="C1" s="13" t="s">
        <v>136</v>
      </c>
      <c r="D1" s="15" t="s">
        <v>1</v>
      </c>
      <c r="E1" s="15" t="s">
        <v>2</v>
      </c>
      <c r="F1" s="15" t="s">
        <v>3</v>
      </c>
      <c r="G1" s="15" t="s">
        <v>128</v>
      </c>
      <c r="H1" s="15" t="s">
        <v>129</v>
      </c>
      <c r="I1" s="15" t="s">
        <v>130</v>
      </c>
      <c r="J1" s="15" t="s">
        <v>137</v>
      </c>
      <c r="K1" s="15" t="s">
        <v>132</v>
      </c>
      <c r="L1" s="15" t="s">
        <v>133</v>
      </c>
      <c r="M1" s="15" t="s">
        <v>134</v>
      </c>
      <c r="N1" s="15" t="s">
        <v>131</v>
      </c>
      <c r="O1" s="15" t="s">
        <v>4</v>
      </c>
      <c r="P1" s="15" t="s">
        <v>125</v>
      </c>
      <c r="Q1" s="15" t="s">
        <v>127</v>
      </c>
      <c r="R1" s="15" t="s">
        <v>5</v>
      </c>
      <c r="S1" s="15" t="s">
        <v>126</v>
      </c>
      <c r="T1" s="13" t="s">
        <v>135</v>
      </c>
    </row>
    <row r="2" spans="1:20" s="6" customFormat="1" x14ac:dyDescent="0.25">
      <c r="A2" s="11" t="s">
        <v>6</v>
      </c>
      <c r="B2" s="17">
        <v>43707</v>
      </c>
      <c r="C2" s="5">
        <v>34</v>
      </c>
      <c r="D2" s="19">
        <v>1515.04</v>
      </c>
      <c r="E2" s="19">
        <v>989.01</v>
      </c>
      <c r="F2" s="19">
        <v>5788.58</v>
      </c>
      <c r="G2" s="19">
        <v>658.2</v>
      </c>
      <c r="H2" s="19">
        <v>372.55</v>
      </c>
      <c r="I2" s="19">
        <v>701.8</v>
      </c>
      <c r="J2" s="19">
        <v>0</v>
      </c>
      <c r="K2" s="19">
        <v>3.93</v>
      </c>
      <c r="L2" s="19">
        <v>1214.8399999999999</v>
      </c>
      <c r="M2" s="19">
        <v>223.53</v>
      </c>
      <c r="N2" s="19">
        <v>918.97</v>
      </c>
      <c r="O2" s="19">
        <v>1885.4</v>
      </c>
      <c r="P2" s="19">
        <v>238</v>
      </c>
      <c r="Q2" s="19">
        <v>1976.25</v>
      </c>
      <c r="R2" s="19">
        <v>2691.55</v>
      </c>
      <c r="S2" s="8">
        <v>1921.8</v>
      </c>
      <c r="T2" s="9">
        <f>SUM(D2:S2)</f>
        <v>21099.449999999997</v>
      </c>
    </row>
    <row r="3" spans="1:20" s="6" customFormat="1" x14ac:dyDescent="0.25">
      <c r="A3" s="11" t="s">
        <v>7</v>
      </c>
      <c r="B3" s="17">
        <v>43692</v>
      </c>
      <c r="C3" s="5">
        <v>46</v>
      </c>
      <c r="D3" s="7">
        <v>1809.3</v>
      </c>
      <c r="E3" s="7">
        <v>1408.9</v>
      </c>
      <c r="F3" s="7">
        <v>8438.44</v>
      </c>
      <c r="G3" s="7">
        <v>1260.56</v>
      </c>
      <c r="H3" s="7">
        <v>815.69</v>
      </c>
      <c r="I3" s="7">
        <v>546.79</v>
      </c>
      <c r="J3" s="7">
        <v>0</v>
      </c>
      <c r="K3" s="7">
        <v>690</v>
      </c>
      <c r="L3" s="7">
        <v>5.76</v>
      </c>
      <c r="M3" s="7">
        <v>296.60000000000002</v>
      </c>
      <c r="N3" s="7">
        <v>1379.22</v>
      </c>
      <c r="O3" s="7">
        <v>2490.3200000000002</v>
      </c>
      <c r="P3" s="7">
        <v>276</v>
      </c>
      <c r="Q3" s="7">
        <v>2705.47</v>
      </c>
      <c r="R3" s="7">
        <v>3963.31</v>
      </c>
      <c r="S3" s="8">
        <v>2625.71</v>
      </c>
      <c r="T3" s="9">
        <f>SUM(D3:S3)</f>
        <v>28712.070000000003</v>
      </c>
    </row>
    <row r="4" spans="1:20" s="6" customFormat="1" x14ac:dyDescent="0.25">
      <c r="A4" s="11" t="s">
        <v>8</v>
      </c>
      <c r="B4" s="17">
        <v>43699</v>
      </c>
      <c r="C4" s="5">
        <v>42</v>
      </c>
      <c r="D4" s="19">
        <v>4164.8500000000004</v>
      </c>
      <c r="E4" s="19">
        <v>4403.84</v>
      </c>
      <c r="F4" s="19">
        <v>22053.119999999999</v>
      </c>
      <c r="G4" s="19">
        <v>2799.33</v>
      </c>
      <c r="H4" s="19">
        <v>1024.1400000000001</v>
      </c>
      <c r="I4" s="19">
        <v>470.42</v>
      </c>
      <c r="J4" s="19"/>
      <c r="K4" s="19">
        <v>2028.5</v>
      </c>
      <c r="L4" s="19"/>
      <c r="M4" s="19">
        <v>0</v>
      </c>
      <c r="N4" s="19"/>
      <c r="O4" s="19">
        <v>5415.29</v>
      </c>
      <c r="P4" s="19">
        <v>546</v>
      </c>
      <c r="Q4" s="19">
        <v>5997.07</v>
      </c>
      <c r="R4" s="19">
        <v>8672.2999999999993</v>
      </c>
      <c r="S4" s="8">
        <v>4924.12</v>
      </c>
      <c r="T4" s="9">
        <f>SUM(D4:S4)</f>
        <v>62498.98</v>
      </c>
    </row>
    <row r="5" spans="1:20" s="6" customFormat="1" x14ac:dyDescent="0.25">
      <c r="A5" s="11" t="s">
        <v>9</v>
      </c>
      <c r="B5" s="17">
        <v>43684</v>
      </c>
      <c r="C5" s="5">
        <v>12</v>
      </c>
      <c r="D5" s="7">
        <v>1190.8399999999999</v>
      </c>
      <c r="E5" s="7">
        <v>2332.6999999999998</v>
      </c>
      <c r="F5" s="7">
        <v>5368.53</v>
      </c>
      <c r="G5" s="7">
        <v>0</v>
      </c>
      <c r="H5" s="7">
        <v>292.83</v>
      </c>
      <c r="I5" s="7">
        <v>304.08</v>
      </c>
      <c r="J5" s="7"/>
      <c r="K5" s="7"/>
      <c r="L5" s="7"/>
      <c r="M5" s="7">
        <v>156.18</v>
      </c>
      <c r="N5" s="7">
        <v>683.27</v>
      </c>
      <c r="O5" s="7">
        <v>1336.83</v>
      </c>
      <c r="P5" s="7">
        <v>24</v>
      </c>
      <c r="Q5" s="7"/>
      <c r="R5" s="7">
        <v>2034.49</v>
      </c>
      <c r="S5" s="8">
        <v>1197.25</v>
      </c>
      <c r="T5" s="9">
        <f t="shared" ref="T5:T13" si="0">SUM(D5:S5)</f>
        <v>14921</v>
      </c>
    </row>
    <row r="6" spans="1:20" s="6" customFormat="1" x14ac:dyDescent="0.25">
      <c r="A6" s="11" t="s">
        <v>10</v>
      </c>
      <c r="B6" s="17">
        <v>43733</v>
      </c>
      <c r="C6" s="5">
        <v>132</v>
      </c>
      <c r="D6" s="19">
        <v>11200.51</v>
      </c>
      <c r="E6" s="19">
        <v>15028</v>
      </c>
      <c r="F6" s="19">
        <v>51893.14</v>
      </c>
      <c r="G6" s="19">
        <v>2662.43</v>
      </c>
      <c r="H6" s="19"/>
      <c r="I6" s="19">
        <v>1530.15</v>
      </c>
      <c r="J6" s="19"/>
      <c r="K6" s="19">
        <v>2460.9899999999998</v>
      </c>
      <c r="L6" s="19">
        <v>2928.42</v>
      </c>
      <c r="M6" s="19"/>
      <c r="N6" s="19">
        <v>2143.16</v>
      </c>
      <c r="O6" s="19">
        <v>12734.35</v>
      </c>
      <c r="P6" s="19">
        <v>12667.71</v>
      </c>
      <c r="Q6" s="19"/>
      <c r="R6" s="19">
        <v>20991.3</v>
      </c>
      <c r="S6" s="8">
        <v>12667.71</v>
      </c>
      <c r="T6" s="9">
        <f t="shared" si="0"/>
        <v>148907.86999999997</v>
      </c>
    </row>
    <row r="7" spans="1:20" s="6" customFormat="1" x14ac:dyDescent="0.25">
      <c r="A7" s="11" t="s">
        <v>11</v>
      </c>
      <c r="B7" s="17">
        <v>43668</v>
      </c>
      <c r="C7" s="5">
        <v>44</v>
      </c>
      <c r="D7" s="7">
        <v>1691</v>
      </c>
      <c r="E7" s="7">
        <v>1496.97</v>
      </c>
      <c r="F7" s="7">
        <v>7219.69</v>
      </c>
      <c r="G7" s="7">
        <v>1369.96</v>
      </c>
      <c r="H7" s="7">
        <v>1247.47</v>
      </c>
      <c r="I7" s="7">
        <v>1072.8800000000001</v>
      </c>
      <c r="J7" s="7">
        <v>0</v>
      </c>
      <c r="K7" s="7">
        <v>999.21</v>
      </c>
      <c r="L7" s="7"/>
      <c r="M7" s="7">
        <v>289.35000000000002</v>
      </c>
      <c r="N7" s="7">
        <v>1471.46</v>
      </c>
      <c r="O7" s="7">
        <v>2147.17</v>
      </c>
      <c r="P7" s="7">
        <v>0</v>
      </c>
      <c r="Q7" s="7">
        <v>0</v>
      </c>
      <c r="R7" s="7">
        <v>3447.58</v>
      </c>
      <c r="S7" s="8">
        <v>2250.84</v>
      </c>
      <c r="T7" s="9">
        <f t="shared" si="0"/>
        <v>24703.579999999998</v>
      </c>
    </row>
    <row r="8" spans="1:20" s="6" customFormat="1" x14ac:dyDescent="0.25">
      <c r="A8" s="11" t="s">
        <v>12</v>
      </c>
      <c r="B8" s="17">
        <v>43684</v>
      </c>
      <c r="C8" s="5">
        <v>56</v>
      </c>
      <c r="D8" s="7">
        <v>5619.69</v>
      </c>
      <c r="E8" s="7">
        <v>6078.19</v>
      </c>
      <c r="F8" s="7">
        <v>25450.48</v>
      </c>
      <c r="G8" s="7">
        <v>4145.0600000000004</v>
      </c>
      <c r="H8" s="7">
        <v>2532.75</v>
      </c>
      <c r="I8" s="7">
        <v>2299.75</v>
      </c>
      <c r="J8" s="7"/>
      <c r="K8" s="7"/>
      <c r="L8" s="7">
        <v>1750.38</v>
      </c>
      <c r="M8" s="7"/>
      <c r="N8" s="7"/>
      <c r="O8" s="7">
        <v>7181.88</v>
      </c>
      <c r="P8" s="7">
        <v>624.28</v>
      </c>
      <c r="Q8" s="7">
        <v>7936.16</v>
      </c>
      <c r="R8" s="7">
        <v>11474.47</v>
      </c>
      <c r="S8" s="8">
        <v>6521.28</v>
      </c>
      <c r="T8" s="9">
        <f t="shared" si="0"/>
        <v>81614.37</v>
      </c>
    </row>
    <row r="9" spans="1:20" s="6" customFormat="1" x14ac:dyDescent="0.25">
      <c r="A9" s="11" t="s">
        <v>13</v>
      </c>
      <c r="B9" s="17">
        <v>43704</v>
      </c>
      <c r="C9" s="5">
        <v>100</v>
      </c>
      <c r="D9" s="19">
        <v>18872.68</v>
      </c>
      <c r="E9" s="19">
        <v>16088.2</v>
      </c>
      <c r="F9" s="19">
        <v>108506.6</v>
      </c>
      <c r="G9" s="19">
        <v>8044.08</v>
      </c>
      <c r="H9" s="19">
        <v>2939.2</v>
      </c>
      <c r="I9" s="19">
        <v>2784.5</v>
      </c>
      <c r="J9" s="19">
        <v>0</v>
      </c>
      <c r="K9" s="19">
        <v>16364.17</v>
      </c>
      <c r="L9" s="19">
        <v>0</v>
      </c>
      <c r="M9" s="19">
        <v>0</v>
      </c>
      <c r="N9" s="19">
        <v>0</v>
      </c>
      <c r="O9" s="19">
        <v>24440</v>
      </c>
      <c r="P9" s="19"/>
      <c r="Q9" s="19">
        <v>28105</v>
      </c>
      <c r="R9" s="19">
        <v>41146.51</v>
      </c>
      <c r="S9" s="8">
        <v>21667.040000000001</v>
      </c>
      <c r="T9" s="9">
        <f t="shared" si="0"/>
        <v>288957.98</v>
      </c>
    </row>
    <row r="10" spans="1:20" s="6" customFormat="1" x14ac:dyDescent="0.25">
      <c r="A10" s="11" t="s">
        <v>14</v>
      </c>
      <c r="B10" s="17">
        <v>43662</v>
      </c>
      <c r="C10" s="5">
        <v>38</v>
      </c>
      <c r="D10" s="19">
        <v>5140.24</v>
      </c>
      <c r="E10" s="19">
        <v>5976.24</v>
      </c>
      <c r="F10" s="19">
        <v>21605.200000000001</v>
      </c>
      <c r="G10" s="19">
        <v>4129.0200000000004</v>
      </c>
      <c r="H10" s="19">
        <v>1938.1</v>
      </c>
      <c r="I10" s="19">
        <v>1252.6300000000001</v>
      </c>
      <c r="J10" s="19">
        <v>0</v>
      </c>
      <c r="K10" s="19">
        <v>0</v>
      </c>
      <c r="L10" s="19">
        <v>0</v>
      </c>
      <c r="M10" s="19">
        <v>294.95</v>
      </c>
      <c r="N10" s="19">
        <v>0</v>
      </c>
      <c r="O10" s="19">
        <v>4920.26</v>
      </c>
      <c r="P10" s="19">
        <v>0</v>
      </c>
      <c r="Q10" s="19">
        <v>0</v>
      </c>
      <c r="R10" s="19">
        <v>7976.09</v>
      </c>
      <c r="S10" s="8">
        <v>4520.05</v>
      </c>
      <c r="T10" s="9">
        <f t="shared" si="0"/>
        <v>57752.78</v>
      </c>
    </row>
    <row r="11" spans="1:20" s="6" customFormat="1" x14ac:dyDescent="0.25">
      <c r="A11" s="11" t="s">
        <v>15</v>
      </c>
      <c r="B11" s="17">
        <v>43693</v>
      </c>
      <c r="C11" s="5">
        <v>176</v>
      </c>
      <c r="D11" s="19">
        <v>16720.54</v>
      </c>
      <c r="E11" s="19">
        <v>24839.52</v>
      </c>
      <c r="F11" s="19">
        <v>49559.71</v>
      </c>
      <c r="G11" s="19">
        <v>16981.54</v>
      </c>
      <c r="H11" s="19">
        <v>8238.74</v>
      </c>
      <c r="I11" s="19">
        <v>5408.37</v>
      </c>
      <c r="J11" s="19">
        <v>0</v>
      </c>
      <c r="K11" s="19">
        <v>6714.23</v>
      </c>
      <c r="L11" s="19">
        <v>7.58</v>
      </c>
      <c r="M11" s="19">
        <v>530.91</v>
      </c>
      <c r="N11" s="19">
        <v>12358.54</v>
      </c>
      <c r="O11" s="19">
        <v>19585.03</v>
      </c>
      <c r="P11" s="19">
        <v>3822</v>
      </c>
      <c r="Q11" s="19">
        <v>23051.49</v>
      </c>
      <c r="R11" s="19">
        <v>30550.37</v>
      </c>
      <c r="S11" s="8">
        <v>2103.75</v>
      </c>
      <c r="T11" s="9">
        <f t="shared" si="0"/>
        <v>220472.31999999998</v>
      </c>
    </row>
    <row r="12" spans="1:20" s="6" customFormat="1" x14ac:dyDescent="0.25">
      <c r="A12" s="11" t="s">
        <v>16</v>
      </c>
      <c r="B12" s="17">
        <v>43692</v>
      </c>
      <c r="C12" s="5">
        <v>133</v>
      </c>
      <c r="D12" s="19">
        <v>3131.12</v>
      </c>
      <c r="E12" s="19">
        <v>1605.74</v>
      </c>
      <c r="F12" s="19">
        <v>9806.07</v>
      </c>
      <c r="G12" s="19">
        <v>1851.2</v>
      </c>
      <c r="H12" s="19">
        <v>878.39</v>
      </c>
      <c r="I12" s="19">
        <v>1489.71</v>
      </c>
      <c r="J12" s="19">
        <v>0</v>
      </c>
      <c r="K12" s="19">
        <v>795.9</v>
      </c>
      <c r="L12" s="19">
        <v>0.16</v>
      </c>
      <c r="M12" s="19">
        <v>230.17</v>
      </c>
      <c r="N12" s="19">
        <v>1235.56</v>
      </c>
      <c r="O12" s="19">
        <v>3088.28</v>
      </c>
      <c r="P12" s="19">
        <v>1596</v>
      </c>
      <c r="Q12" s="19">
        <v>3413.06</v>
      </c>
      <c r="R12" s="19">
        <v>4887.49</v>
      </c>
      <c r="S12" s="8">
        <v>4438.7700000000004</v>
      </c>
      <c r="T12" s="9">
        <f t="shared" si="0"/>
        <v>38447.619999999995</v>
      </c>
    </row>
    <row r="13" spans="1:20" s="6" customFormat="1" x14ac:dyDescent="0.25">
      <c r="A13" s="11" t="s">
        <v>17</v>
      </c>
      <c r="B13" s="17">
        <v>43712</v>
      </c>
      <c r="C13" s="5">
        <v>17</v>
      </c>
      <c r="D13" s="19">
        <v>886.21</v>
      </c>
      <c r="E13" s="19">
        <v>2832.96</v>
      </c>
      <c r="F13" s="19">
        <v>3214.96</v>
      </c>
      <c r="G13" s="19">
        <v>668.29</v>
      </c>
      <c r="H13" s="19">
        <v>530.29</v>
      </c>
      <c r="I13" s="19">
        <v>453.29</v>
      </c>
      <c r="J13" s="19">
        <v>0</v>
      </c>
      <c r="K13" s="19">
        <v>0</v>
      </c>
      <c r="L13" s="19">
        <v>31.5</v>
      </c>
      <c r="M13" s="19">
        <v>170.72</v>
      </c>
      <c r="N13" s="19">
        <v>690.1</v>
      </c>
      <c r="O13" s="19">
        <v>1406.07</v>
      </c>
      <c r="P13" s="19">
        <v>15</v>
      </c>
      <c r="Q13" s="19">
        <v>1618.74</v>
      </c>
      <c r="R13" s="19">
        <v>2172.84</v>
      </c>
      <c r="S13" s="8">
        <v>1341.43</v>
      </c>
      <c r="T13" s="32">
        <f t="shared" si="0"/>
        <v>16032.4</v>
      </c>
    </row>
    <row r="14" spans="1:20" s="6" customFormat="1" x14ac:dyDescent="0.25">
      <c r="A14" s="11" t="s">
        <v>18</v>
      </c>
      <c r="B14" s="17">
        <v>43748</v>
      </c>
      <c r="C14" s="5">
        <v>10</v>
      </c>
      <c r="D14" s="19">
        <v>92.72</v>
      </c>
      <c r="E14" s="19">
        <v>116.29</v>
      </c>
      <c r="F14" s="19">
        <v>476.51</v>
      </c>
      <c r="G14" s="19">
        <v>116.29</v>
      </c>
      <c r="H14" s="19">
        <v>60.8</v>
      </c>
      <c r="I14" s="19">
        <v>114.75</v>
      </c>
      <c r="J14" s="19">
        <v>0</v>
      </c>
      <c r="K14" s="19">
        <v>0.5</v>
      </c>
      <c r="L14" s="19"/>
      <c r="M14" s="19">
        <v>19.010000000000002</v>
      </c>
      <c r="N14" s="19">
        <v>0</v>
      </c>
      <c r="O14" s="19">
        <v>149.68</v>
      </c>
      <c r="P14" s="19">
        <v>50</v>
      </c>
      <c r="Q14" s="19">
        <v>186.93</v>
      </c>
      <c r="R14" s="19">
        <v>236.76</v>
      </c>
      <c r="S14" s="8">
        <v>268.36</v>
      </c>
      <c r="T14" s="9">
        <f t="shared" ref="T14:T20" si="1">SUM(D14:S14)</f>
        <v>1888.6</v>
      </c>
    </row>
    <row r="15" spans="1:20" s="6" customFormat="1" x14ac:dyDescent="0.25">
      <c r="A15" s="11" t="s">
        <v>19</v>
      </c>
      <c r="B15" s="17">
        <v>43703</v>
      </c>
      <c r="C15" s="5">
        <v>37</v>
      </c>
      <c r="D15" s="7">
        <v>1791.12</v>
      </c>
      <c r="E15" s="7">
        <v>1850.19</v>
      </c>
      <c r="F15" s="7">
        <v>8001.52</v>
      </c>
      <c r="G15" s="7">
        <v>1262.5899999999999</v>
      </c>
      <c r="H15" s="7">
        <v>455.14</v>
      </c>
      <c r="I15" s="7">
        <v>616.61</v>
      </c>
      <c r="J15" s="7"/>
      <c r="K15" s="7">
        <v>1627.85</v>
      </c>
      <c r="L15" s="7"/>
      <c r="M15" s="7">
        <v>146.87</v>
      </c>
      <c r="N15" s="7"/>
      <c r="O15" s="7">
        <v>2079.85</v>
      </c>
      <c r="P15" s="7"/>
      <c r="Q15" s="7"/>
      <c r="R15" s="7">
        <v>3187.4</v>
      </c>
      <c r="S15" s="8">
        <v>2370.6999999999998</v>
      </c>
      <c r="T15" s="9">
        <f t="shared" si="1"/>
        <v>23389.840000000004</v>
      </c>
    </row>
    <row r="16" spans="1:20" s="6" customFormat="1" x14ac:dyDescent="0.25">
      <c r="A16" s="11" t="s">
        <v>20</v>
      </c>
      <c r="B16" s="17">
        <v>43692</v>
      </c>
      <c r="C16" s="5">
        <v>101</v>
      </c>
      <c r="D16" s="19">
        <v>15464.35</v>
      </c>
      <c r="E16" s="19">
        <v>12168.65</v>
      </c>
      <c r="F16" s="19">
        <v>92786.25</v>
      </c>
      <c r="G16" s="19">
        <v>8619.4599999999991</v>
      </c>
      <c r="H16" s="19">
        <v>3042.2</v>
      </c>
      <c r="I16" s="19">
        <v>1254.9000000000001</v>
      </c>
      <c r="J16" s="19"/>
      <c r="K16" s="19">
        <v>12973.09</v>
      </c>
      <c r="L16" s="19"/>
      <c r="M16" s="19"/>
      <c r="N16" s="19"/>
      <c r="O16" s="19">
        <v>20459.47</v>
      </c>
      <c r="P16" s="19">
        <v>1313</v>
      </c>
      <c r="Q16" s="19">
        <v>23700.83</v>
      </c>
      <c r="R16" s="19">
        <v>34203.980000000003</v>
      </c>
      <c r="S16" s="8">
        <v>18515.96</v>
      </c>
      <c r="T16" s="9">
        <f t="shared" si="1"/>
        <v>244502.14</v>
      </c>
    </row>
    <row r="17" spans="1:21" s="6" customFormat="1" x14ac:dyDescent="0.25">
      <c r="A17" s="11" t="s">
        <v>21</v>
      </c>
      <c r="B17" s="17">
        <v>43693</v>
      </c>
      <c r="C17" s="5">
        <v>40</v>
      </c>
      <c r="D17" s="19">
        <v>1887.43</v>
      </c>
      <c r="E17" s="19">
        <v>1237.6500000000001</v>
      </c>
      <c r="F17" s="19">
        <v>6559.53</v>
      </c>
      <c r="G17" s="19">
        <v>1067.52</v>
      </c>
      <c r="H17" s="19">
        <v>348.14</v>
      </c>
      <c r="I17" s="19">
        <v>1104.92</v>
      </c>
      <c r="J17" s="19">
        <v>0</v>
      </c>
      <c r="K17" s="19">
        <v>1133.69</v>
      </c>
      <c r="L17" s="19">
        <v>94.02</v>
      </c>
      <c r="M17" s="19">
        <v>0</v>
      </c>
      <c r="N17" s="19">
        <v>1376.93</v>
      </c>
      <c r="O17" s="19">
        <v>1977.75</v>
      </c>
      <c r="P17" s="19">
        <v>800</v>
      </c>
      <c r="Q17" s="19"/>
      <c r="R17" s="19">
        <v>3041.99</v>
      </c>
      <c r="S17" s="8">
        <v>1881</v>
      </c>
      <c r="T17" s="9">
        <f t="shared" si="1"/>
        <v>22510.57</v>
      </c>
    </row>
    <row r="18" spans="1:21" s="6" customFormat="1" x14ac:dyDescent="0.25">
      <c r="A18" s="11" t="s">
        <v>22</v>
      </c>
      <c r="B18" s="17">
        <v>43720</v>
      </c>
      <c r="C18" s="5">
        <v>25</v>
      </c>
      <c r="D18" s="19">
        <v>2739.99</v>
      </c>
      <c r="E18" s="19">
        <v>2268.37</v>
      </c>
      <c r="F18" s="19">
        <v>10016.68</v>
      </c>
      <c r="G18" s="19">
        <v>1280.1400000000001</v>
      </c>
      <c r="H18" s="19">
        <v>1122.94</v>
      </c>
      <c r="I18" s="19">
        <v>994.71</v>
      </c>
      <c r="J18" s="19">
        <v>0</v>
      </c>
      <c r="K18" s="19">
        <v>0</v>
      </c>
      <c r="L18" s="19">
        <v>69.55</v>
      </c>
      <c r="M18" s="19">
        <v>0</v>
      </c>
      <c r="N18" s="19">
        <v>0</v>
      </c>
      <c r="O18" s="19">
        <v>2760.95</v>
      </c>
      <c r="P18" s="19">
        <v>200</v>
      </c>
      <c r="Q18" s="19">
        <v>3235.38</v>
      </c>
      <c r="R18" s="19">
        <v>4345.54</v>
      </c>
      <c r="S18" s="8">
        <v>2422.7800000000002</v>
      </c>
      <c r="T18" s="9">
        <f t="shared" si="1"/>
        <v>31457.03</v>
      </c>
    </row>
    <row r="19" spans="1:21" s="6" customFormat="1" x14ac:dyDescent="0.25">
      <c r="A19" s="11" t="s">
        <v>23</v>
      </c>
      <c r="B19" s="17">
        <v>43697</v>
      </c>
      <c r="C19" s="5">
        <v>63</v>
      </c>
      <c r="D19" s="19">
        <v>5495.26</v>
      </c>
      <c r="E19" s="19">
        <v>5900.64</v>
      </c>
      <c r="F19" s="19">
        <v>13567.82</v>
      </c>
      <c r="G19" s="19">
        <v>2612.48</v>
      </c>
      <c r="H19" s="19">
        <v>1261.19</v>
      </c>
      <c r="I19" s="19">
        <v>729.68</v>
      </c>
      <c r="J19" s="19">
        <v>0</v>
      </c>
      <c r="K19" s="19">
        <v>1876.12</v>
      </c>
      <c r="L19" s="19">
        <v>0</v>
      </c>
      <c r="M19" s="19">
        <v>225.26</v>
      </c>
      <c r="N19" s="19">
        <v>0</v>
      </c>
      <c r="O19" s="19">
        <v>4710.46</v>
      </c>
      <c r="P19" s="19">
        <v>630</v>
      </c>
      <c r="Q19" s="19">
        <v>5144.1499999999996</v>
      </c>
      <c r="R19" s="19">
        <v>7488.54</v>
      </c>
      <c r="S19" s="8">
        <v>4311.2700000000004</v>
      </c>
      <c r="T19" s="9">
        <f t="shared" si="1"/>
        <v>53952.869999999995</v>
      </c>
    </row>
    <row r="20" spans="1:21" s="6" customFormat="1" x14ac:dyDescent="0.25">
      <c r="A20" s="11" t="s">
        <v>24</v>
      </c>
      <c r="B20" s="17">
        <v>43684</v>
      </c>
      <c r="C20" s="5">
        <v>134</v>
      </c>
      <c r="D20" s="7">
        <v>17177.53</v>
      </c>
      <c r="E20" s="7">
        <v>24076.79</v>
      </c>
      <c r="F20" s="7">
        <v>70352.070000000007</v>
      </c>
      <c r="G20" s="7">
        <v>10560</v>
      </c>
      <c r="H20" s="7">
        <v>3379.26</v>
      </c>
      <c r="I20" s="7">
        <v>3942.44</v>
      </c>
      <c r="J20" s="7"/>
      <c r="K20" s="7">
        <v>11911</v>
      </c>
      <c r="L20" s="7"/>
      <c r="M20" s="7">
        <v>394.25</v>
      </c>
      <c r="N20" s="7"/>
      <c r="O20" s="7">
        <v>19672.2</v>
      </c>
      <c r="P20" s="7">
        <v>4020</v>
      </c>
      <c r="Q20" s="7">
        <v>22961.63</v>
      </c>
      <c r="R20" s="7">
        <v>33218.97</v>
      </c>
      <c r="S20" s="8">
        <v>18485.490000000002</v>
      </c>
      <c r="T20" s="9">
        <f t="shared" si="1"/>
        <v>240151.63000000003</v>
      </c>
    </row>
    <row r="21" spans="1:21" s="6" customFormat="1" x14ac:dyDescent="0.25">
      <c r="A21" s="11" t="s">
        <v>25</v>
      </c>
      <c r="B21" s="17">
        <v>43685</v>
      </c>
      <c r="C21" s="5">
        <v>0</v>
      </c>
      <c r="D21" s="7">
        <v>0</v>
      </c>
      <c r="E21" s="7">
        <v>0</v>
      </c>
      <c r="F21" s="7">
        <v>0</v>
      </c>
      <c r="G21" s="7">
        <v>0</v>
      </c>
      <c r="H21" s="7">
        <v>0</v>
      </c>
      <c r="I21" s="7">
        <v>0</v>
      </c>
      <c r="J21" s="7">
        <v>0</v>
      </c>
      <c r="K21" s="7">
        <v>0</v>
      </c>
      <c r="L21" s="7">
        <v>0</v>
      </c>
      <c r="M21" s="7">
        <v>0</v>
      </c>
      <c r="N21" s="7">
        <v>0</v>
      </c>
      <c r="O21" s="7">
        <v>0</v>
      </c>
      <c r="P21" s="7">
        <v>0</v>
      </c>
      <c r="Q21" s="7">
        <v>0</v>
      </c>
      <c r="R21" s="7">
        <v>0</v>
      </c>
      <c r="S21" s="8">
        <v>0</v>
      </c>
      <c r="T21" s="5">
        <v>0</v>
      </c>
      <c r="U21" s="8"/>
    </row>
    <row r="22" spans="1:21" s="6" customFormat="1" x14ac:dyDescent="0.25">
      <c r="A22" s="11" t="s">
        <v>26</v>
      </c>
      <c r="B22" s="17">
        <v>43661</v>
      </c>
      <c r="C22" s="5">
        <v>18</v>
      </c>
      <c r="D22" s="7">
        <v>4644.91</v>
      </c>
      <c r="E22" s="7">
        <v>1218.3399999999999</v>
      </c>
      <c r="F22" s="7">
        <v>22196.560000000001</v>
      </c>
      <c r="G22" s="7">
        <v>4264.18</v>
      </c>
      <c r="H22" s="7">
        <v>2055.9499999999998</v>
      </c>
      <c r="I22" s="7">
        <v>1894.91</v>
      </c>
      <c r="J22" s="7">
        <v>0</v>
      </c>
      <c r="K22" s="7">
        <v>2193</v>
      </c>
      <c r="L22" s="7">
        <v>2374.56</v>
      </c>
      <c r="M22" s="7">
        <v>0</v>
      </c>
      <c r="N22" s="7">
        <v>0</v>
      </c>
      <c r="O22" s="7">
        <v>6018.42</v>
      </c>
      <c r="P22" s="7">
        <v>270</v>
      </c>
      <c r="Q22" s="7">
        <v>6122.03</v>
      </c>
      <c r="R22" s="7">
        <v>9392.91</v>
      </c>
      <c r="S22" s="8">
        <v>4966.4399999999996</v>
      </c>
      <c r="T22" s="9">
        <f t="shared" ref="T22:T27" si="2">SUM(D22:S22)</f>
        <v>67612.210000000006</v>
      </c>
    </row>
    <row r="23" spans="1:21" s="30" customFormat="1" x14ac:dyDescent="0.25">
      <c r="A23" s="11" t="s">
        <v>27</v>
      </c>
      <c r="B23" s="17">
        <v>43704</v>
      </c>
      <c r="C23" s="5">
        <v>80</v>
      </c>
      <c r="D23" s="19">
        <v>6096.58</v>
      </c>
      <c r="E23" s="19">
        <v>4307.96</v>
      </c>
      <c r="F23" s="19">
        <v>24036.42</v>
      </c>
      <c r="G23" s="19">
        <v>0</v>
      </c>
      <c r="H23" s="19">
        <v>2998.3</v>
      </c>
      <c r="I23" s="19">
        <v>2408.17</v>
      </c>
      <c r="J23" s="19"/>
      <c r="K23" s="19">
        <v>50.84</v>
      </c>
      <c r="L23" s="19"/>
      <c r="M23" s="19"/>
      <c r="N23" s="19">
        <v>4797.24</v>
      </c>
      <c r="O23" s="19">
        <v>5879</v>
      </c>
      <c r="P23" s="19">
        <v>160</v>
      </c>
      <c r="Q23" s="19"/>
      <c r="R23" s="19">
        <v>8827.11</v>
      </c>
      <c r="S23" s="8">
        <v>5613.58</v>
      </c>
      <c r="T23" s="9">
        <f t="shared" si="2"/>
        <v>65175.199999999997</v>
      </c>
    </row>
    <row r="24" spans="1:21" s="6" customFormat="1" x14ac:dyDescent="0.25">
      <c r="A24" s="11" t="s">
        <v>28</v>
      </c>
      <c r="B24" s="17">
        <v>43690</v>
      </c>
      <c r="C24" s="5">
        <v>28</v>
      </c>
      <c r="D24" s="19">
        <v>2323.1999999999998</v>
      </c>
      <c r="E24" s="19">
        <v>1275.8699999999999</v>
      </c>
      <c r="F24" s="19">
        <v>9273.74</v>
      </c>
      <c r="G24" s="19">
        <v>1809.07</v>
      </c>
      <c r="H24" s="19">
        <v>818.83</v>
      </c>
      <c r="I24" s="19">
        <v>364.49</v>
      </c>
      <c r="J24" s="19">
        <v>1015.53</v>
      </c>
      <c r="K24" s="19">
        <v>10</v>
      </c>
      <c r="L24" s="19"/>
      <c r="M24" s="19">
        <v>476.09</v>
      </c>
      <c r="N24" s="19">
        <v>1142.56</v>
      </c>
      <c r="O24" s="19">
        <v>2493.27</v>
      </c>
      <c r="P24" s="19">
        <v>289.11</v>
      </c>
      <c r="Q24" s="19"/>
      <c r="R24" s="19">
        <v>3791.46</v>
      </c>
      <c r="S24" s="8">
        <v>2150.3000000000002</v>
      </c>
      <c r="T24" s="9">
        <f t="shared" si="2"/>
        <v>27233.52</v>
      </c>
    </row>
    <row r="25" spans="1:21" s="6" customFormat="1" x14ac:dyDescent="0.25">
      <c r="A25" s="11" t="s">
        <v>29</v>
      </c>
      <c r="B25" s="17">
        <v>43697</v>
      </c>
      <c r="C25" s="5">
        <v>94</v>
      </c>
      <c r="D25" s="19">
        <v>10439.799999999999</v>
      </c>
      <c r="E25" s="19">
        <v>16001.96</v>
      </c>
      <c r="F25" s="19">
        <v>36624.82</v>
      </c>
      <c r="G25" s="19"/>
      <c r="H25" s="19">
        <v>2738.38</v>
      </c>
      <c r="I25" s="19">
        <v>2053.73</v>
      </c>
      <c r="J25" s="19">
        <v>0</v>
      </c>
      <c r="K25" s="19">
        <v>2307.4499999999998</v>
      </c>
      <c r="L25" s="19">
        <v>480.61</v>
      </c>
      <c r="M25" s="19">
        <v>342.32</v>
      </c>
      <c r="N25" s="19"/>
      <c r="O25" s="19">
        <v>9115.0400000000009</v>
      </c>
      <c r="P25" s="19"/>
      <c r="Q25" s="19"/>
      <c r="R25" s="19">
        <v>14420.74</v>
      </c>
      <c r="S25" s="8">
        <v>8621.2900000000009</v>
      </c>
      <c r="T25" s="9">
        <f t="shared" si="2"/>
        <v>103146.14000000001</v>
      </c>
    </row>
    <row r="26" spans="1:21" s="6" customFormat="1" x14ac:dyDescent="0.25">
      <c r="A26" s="11" t="s">
        <v>30</v>
      </c>
      <c r="B26" s="17">
        <v>43685</v>
      </c>
      <c r="C26" s="5">
        <v>61</v>
      </c>
      <c r="D26" s="7">
        <v>10213.17</v>
      </c>
      <c r="E26" s="7">
        <v>7618.01</v>
      </c>
      <c r="F26" s="7">
        <v>52070.41</v>
      </c>
      <c r="G26" s="7">
        <v>5357.74</v>
      </c>
      <c r="H26" s="7">
        <v>3850.85</v>
      </c>
      <c r="I26" s="7">
        <v>2696.27</v>
      </c>
      <c r="J26" s="7">
        <v>0</v>
      </c>
      <c r="K26" s="7">
        <v>0</v>
      </c>
      <c r="L26" s="7">
        <v>0</v>
      </c>
      <c r="M26" s="7">
        <v>0</v>
      </c>
      <c r="N26" s="7">
        <v>0</v>
      </c>
      <c r="O26" s="7">
        <v>11684.08</v>
      </c>
      <c r="P26" s="7">
        <v>610</v>
      </c>
      <c r="Q26" s="7">
        <v>13265.48</v>
      </c>
      <c r="R26" s="7">
        <v>19146.43</v>
      </c>
      <c r="S26" s="8">
        <v>10427.200000000001</v>
      </c>
      <c r="T26" s="9">
        <f t="shared" si="2"/>
        <v>136939.64000000001</v>
      </c>
    </row>
    <row r="27" spans="1:21" s="6" customFormat="1" x14ac:dyDescent="0.25">
      <c r="A27" s="11" t="s">
        <v>31</v>
      </c>
      <c r="B27" s="17">
        <v>43732</v>
      </c>
      <c r="C27" s="5">
        <v>36</v>
      </c>
      <c r="D27" s="19">
        <v>2304.33</v>
      </c>
      <c r="E27" s="19">
        <v>2450.41</v>
      </c>
      <c r="F27" s="19">
        <v>12390.46</v>
      </c>
      <c r="G27" s="19">
        <v>2077.6799999999998</v>
      </c>
      <c r="H27" s="19">
        <v>1322.16</v>
      </c>
      <c r="I27" s="19">
        <v>1378.81</v>
      </c>
      <c r="J27" s="19">
        <v>0</v>
      </c>
      <c r="K27" s="19">
        <v>21.86</v>
      </c>
      <c r="L27" s="19">
        <v>82</v>
      </c>
      <c r="M27" s="19">
        <v>283.37</v>
      </c>
      <c r="N27" s="19">
        <v>0</v>
      </c>
      <c r="O27" s="19">
        <v>2879.41</v>
      </c>
      <c r="P27" s="19"/>
      <c r="Q27" s="19"/>
      <c r="R27" s="19">
        <v>4314.6400000000003</v>
      </c>
      <c r="S27" s="8">
        <v>2772.33</v>
      </c>
      <c r="T27" s="9">
        <f t="shared" si="2"/>
        <v>32277.46</v>
      </c>
    </row>
    <row r="28" spans="1:21" s="6" customFormat="1" x14ac:dyDescent="0.25">
      <c r="A28" s="11" t="s">
        <v>32</v>
      </c>
      <c r="B28" s="17">
        <v>43718</v>
      </c>
      <c r="C28" s="5">
        <v>18</v>
      </c>
      <c r="D28" s="19">
        <v>1698.84</v>
      </c>
      <c r="E28" s="19">
        <v>905.13</v>
      </c>
      <c r="F28" s="19">
        <v>5321.92</v>
      </c>
      <c r="G28" s="19">
        <v>640.54</v>
      </c>
      <c r="H28" s="19">
        <v>487.39</v>
      </c>
      <c r="I28" s="19">
        <v>1129.45</v>
      </c>
      <c r="J28" s="19"/>
      <c r="K28" s="19"/>
      <c r="L28" s="19">
        <v>3.94</v>
      </c>
      <c r="M28" s="19">
        <v>253.42</v>
      </c>
      <c r="N28" s="19">
        <v>0</v>
      </c>
      <c r="O28" s="19">
        <v>1776.07</v>
      </c>
      <c r="P28" s="19">
        <v>108</v>
      </c>
      <c r="Q28" s="19">
        <v>2005.79</v>
      </c>
      <c r="R28" s="19">
        <v>2689.34</v>
      </c>
      <c r="S28" s="8">
        <v>1650.7</v>
      </c>
      <c r="T28" s="9">
        <f t="shared" ref="T28:T38" si="3">SUM(D28:S28)</f>
        <v>18670.530000000002</v>
      </c>
    </row>
    <row r="29" spans="1:21" s="6" customFormat="1" x14ac:dyDescent="0.25">
      <c r="A29" s="11" t="s">
        <v>33</v>
      </c>
      <c r="B29" s="17">
        <v>43703</v>
      </c>
      <c r="C29" s="5">
        <v>19</v>
      </c>
      <c r="D29" s="19">
        <v>1593.65</v>
      </c>
      <c r="E29" s="19">
        <v>1541.36</v>
      </c>
      <c r="F29" s="19">
        <v>6361.47</v>
      </c>
      <c r="G29" s="19">
        <v>653.13</v>
      </c>
      <c r="H29" s="19">
        <v>391.88</v>
      </c>
      <c r="I29" s="19">
        <v>487.24</v>
      </c>
      <c r="J29" s="19"/>
      <c r="K29" s="19"/>
      <c r="L29" s="19">
        <v>5.16</v>
      </c>
      <c r="M29" s="19">
        <v>360</v>
      </c>
      <c r="N29" s="19"/>
      <c r="O29" s="19">
        <v>1773.14</v>
      </c>
      <c r="P29" s="19">
        <v>114</v>
      </c>
      <c r="Q29" s="19">
        <v>1854.47</v>
      </c>
      <c r="R29" s="19">
        <v>2687.74</v>
      </c>
      <c r="S29" s="8">
        <v>1609.88</v>
      </c>
      <c r="T29" s="9">
        <f t="shared" si="3"/>
        <v>19433.12</v>
      </c>
    </row>
    <row r="30" spans="1:21" s="27" customFormat="1" x14ac:dyDescent="0.25">
      <c r="A30" s="23" t="s">
        <v>34</v>
      </c>
      <c r="B30" s="24">
        <v>43663</v>
      </c>
      <c r="C30" s="5">
        <v>27</v>
      </c>
      <c r="D30" s="25">
        <v>828.99</v>
      </c>
      <c r="E30" s="25">
        <v>305.79000000000002</v>
      </c>
      <c r="F30" s="25">
        <v>2908.26</v>
      </c>
      <c r="G30" s="25">
        <v>536.79</v>
      </c>
      <c r="H30" s="25">
        <v>237.81</v>
      </c>
      <c r="I30" s="25">
        <v>441.27</v>
      </c>
      <c r="J30" s="25"/>
      <c r="K30" s="25">
        <v>13.12</v>
      </c>
      <c r="L30" s="25"/>
      <c r="M30" s="25">
        <v>176.67</v>
      </c>
      <c r="N30" s="25">
        <v>421.29</v>
      </c>
      <c r="O30" s="25">
        <v>910.96</v>
      </c>
      <c r="P30" s="25">
        <v>216</v>
      </c>
      <c r="Q30" s="25">
        <v>881.74</v>
      </c>
      <c r="R30" s="25">
        <v>1404.31</v>
      </c>
      <c r="S30" s="26">
        <v>1080.19</v>
      </c>
      <c r="T30" s="9">
        <f t="shared" si="3"/>
        <v>10363.19</v>
      </c>
    </row>
    <row r="31" spans="1:21" s="6" customFormat="1" x14ac:dyDescent="0.25">
      <c r="A31" s="11" t="s">
        <v>35</v>
      </c>
      <c r="B31" s="17">
        <v>43698</v>
      </c>
      <c r="C31" s="5">
        <v>91</v>
      </c>
      <c r="D31" s="19">
        <v>11166.82</v>
      </c>
      <c r="E31" s="19">
        <v>12356.77</v>
      </c>
      <c r="F31" s="19">
        <v>40314.019999999997</v>
      </c>
      <c r="G31" s="19">
        <v>5858.04</v>
      </c>
      <c r="H31" s="19">
        <v>3661.26</v>
      </c>
      <c r="I31" s="19">
        <v>786.24</v>
      </c>
      <c r="J31" s="19"/>
      <c r="K31" s="19">
        <v>1038.6500000000001</v>
      </c>
      <c r="L31" s="19"/>
      <c r="M31" s="19"/>
      <c r="N31" s="19"/>
      <c r="O31" s="19">
        <v>9086.43</v>
      </c>
      <c r="P31" s="19">
        <v>1920.1</v>
      </c>
      <c r="Q31" s="19"/>
      <c r="R31" s="19">
        <v>15243.3</v>
      </c>
      <c r="S31" s="8">
        <v>10988.69</v>
      </c>
      <c r="T31" s="9">
        <f t="shared" si="3"/>
        <v>112420.31999999999</v>
      </c>
    </row>
    <row r="32" spans="1:21" s="6" customFormat="1" x14ac:dyDescent="0.25">
      <c r="A32" s="11" t="s">
        <v>36</v>
      </c>
      <c r="B32" s="17">
        <v>43718</v>
      </c>
      <c r="C32" s="5">
        <v>67</v>
      </c>
      <c r="D32" s="19">
        <v>3477.25</v>
      </c>
      <c r="E32" s="19">
        <v>3961.81</v>
      </c>
      <c r="F32" s="19">
        <v>13025.4</v>
      </c>
      <c r="G32" s="19">
        <v>2084.17</v>
      </c>
      <c r="H32" s="19">
        <v>641.48</v>
      </c>
      <c r="I32" s="19">
        <v>511.93</v>
      </c>
      <c r="J32" s="19"/>
      <c r="K32" s="19">
        <v>1822.39</v>
      </c>
      <c r="L32" s="19">
        <v>22.96</v>
      </c>
      <c r="M32" s="19"/>
      <c r="N32" s="19">
        <v>2308.69</v>
      </c>
      <c r="O32" s="19">
        <v>3611.75</v>
      </c>
      <c r="P32" s="19"/>
      <c r="Q32" s="19"/>
      <c r="R32" s="19">
        <v>5653.06</v>
      </c>
      <c r="S32" s="8">
        <v>3454.01</v>
      </c>
      <c r="T32" s="9">
        <f t="shared" si="3"/>
        <v>40574.899999999994</v>
      </c>
    </row>
    <row r="33" spans="1:21" s="6" customFormat="1" x14ac:dyDescent="0.25">
      <c r="A33" s="11" t="s">
        <v>37</v>
      </c>
      <c r="B33" s="17">
        <v>43705</v>
      </c>
      <c r="C33" s="5">
        <v>245</v>
      </c>
      <c r="D33" s="19">
        <v>8966.4</v>
      </c>
      <c r="E33" s="19">
        <v>8487.33</v>
      </c>
      <c r="F33" s="19">
        <v>32860.639999999999</v>
      </c>
      <c r="G33" s="19"/>
      <c r="H33" s="19">
        <v>5803.13</v>
      </c>
      <c r="I33" s="19">
        <v>5531</v>
      </c>
      <c r="J33" s="19"/>
      <c r="K33" s="19"/>
      <c r="L33" s="19">
        <v>89.49</v>
      </c>
      <c r="M33" s="19">
        <v>4667.91</v>
      </c>
      <c r="N33" s="19">
        <v>7108.89</v>
      </c>
      <c r="O33" s="19">
        <v>11062.64</v>
      </c>
      <c r="P33" s="19">
        <v>485</v>
      </c>
      <c r="Q33" s="19">
        <v>12142.32</v>
      </c>
      <c r="R33" s="19">
        <v>9732.61</v>
      </c>
      <c r="S33" s="8">
        <v>10707.93</v>
      </c>
      <c r="T33" s="9">
        <f t="shared" si="3"/>
        <v>117645.29000000001</v>
      </c>
    </row>
    <row r="34" spans="1:21" s="6" customFormat="1" x14ac:dyDescent="0.25">
      <c r="A34" s="11" t="s">
        <v>38</v>
      </c>
      <c r="B34" s="17">
        <v>43700</v>
      </c>
      <c r="C34" s="5">
        <v>24</v>
      </c>
      <c r="D34" s="19">
        <v>1369.24</v>
      </c>
      <c r="E34" s="19">
        <v>998.87</v>
      </c>
      <c r="F34" s="19">
        <v>5757.52</v>
      </c>
      <c r="G34" s="19">
        <v>1492.78</v>
      </c>
      <c r="H34" s="19">
        <v>897.94</v>
      </c>
      <c r="I34" s="19">
        <v>763.26</v>
      </c>
      <c r="J34" s="19">
        <v>0</v>
      </c>
      <c r="K34" s="19">
        <v>24.51</v>
      </c>
      <c r="L34" s="19">
        <v>59.24</v>
      </c>
      <c r="M34" s="19">
        <v>168.35</v>
      </c>
      <c r="N34" s="19">
        <v>1122.42</v>
      </c>
      <c r="O34" s="19">
        <v>1948.76</v>
      </c>
      <c r="P34" s="19">
        <v>0</v>
      </c>
      <c r="Q34" s="19">
        <v>2058.79</v>
      </c>
      <c r="R34" s="19">
        <v>2984.51</v>
      </c>
      <c r="S34" s="8">
        <v>1801.26</v>
      </c>
      <c r="T34" s="9">
        <f t="shared" si="3"/>
        <v>21447.45</v>
      </c>
    </row>
    <row r="35" spans="1:21" s="6" customFormat="1" x14ac:dyDescent="0.25">
      <c r="A35" s="11" t="s">
        <v>39</v>
      </c>
      <c r="B35" s="17">
        <v>43672</v>
      </c>
      <c r="C35" s="5">
        <v>275</v>
      </c>
      <c r="D35" s="19">
        <v>54358.46</v>
      </c>
      <c r="E35" s="19">
        <v>111691.28</v>
      </c>
      <c r="F35" s="19">
        <v>360903.88</v>
      </c>
      <c r="G35" s="19">
        <v>0</v>
      </c>
      <c r="H35" s="19">
        <v>12475.6</v>
      </c>
      <c r="I35" s="19">
        <v>1559.72</v>
      </c>
      <c r="J35" s="19">
        <v>0</v>
      </c>
      <c r="K35" s="19">
        <v>0</v>
      </c>
      <c r="L35" s="19">
        <v>27032.43</v>
      </c>
      <c r="M35" s="19">
        <v>267.36</v>
      </c>
      <c r="N35" s="19">
        <v>0</v>
      </c>
      <c r="O35" s="19">
        <v>63855.42</v>
      </c>
      <c r="P35" s="19"/>
      <c r="Q35" s="19"/>
      <c r="R35" s="19">
        <v>111904.12</v>
      </c>
      <c r="S35" s="8">
        <v>59788.28</v>
      </c>
      <c r="T35" s="9">
        <f t="shared" si="3"/>
        <v>803836.55</v>
      </c>
    </row>
    <row r="36" spans="1:21" s="6" customFormat="1" x14ac:dyDescent="0.25">
      <c r="A36" s="11" t="s">
        <v>40</v>
      </c>
      <c r="B36" s="17">
        <v>43686</v>
      </c>
      <c r="C36" s="5">
        <v>27</v>
      </c>
      <c r="D36" s="19">
        <v>2076.3200000000002</v>
      </c>
      <c r="E36" s="19">
        <v>2723.04</v>
      </c>
      <c r="F36" s="19">
        <v>7522.4</v>
      </c>
      <c r="G36" s="19">
        <v>1497.67</v>
      </c>
      <c r="H36" s="19">
        <v>850.95</v>
      </c>
      <c r="I36" s="19">
        <v>788.31</v>
      </c>
      <c r="J36" s="19">
        <v>0</v>
      </c>
      <c r="K36" s="19">
        <v>0</v>
      </c>
      <c r="L36" s="19">
        <v>43.13</v>
      </c>
      <c r="M36" s="19">
        <v>255.3</v>
      </c>
      <c r="N36" s="19">
        <v>782.88</v>
      </c>
      <c r="O36" s="19">
        <v>2511.89</v>
      </c>
      <c r="P36" s="19">
        <v>270</v>
      </c>
      <c r="Q36" s="19">
        <v>2689.31</v>
      </c>
      <c r="R36" s="19">
        <v>3899.89</v>
      </c>
      <c r="S36" s="8">
        <v>2327.9499999999998</v>
      </c>
      <c r="T36" s="9">
        <f t="shared" si="3"/>
        <v>28239.040000000001</v>
      </c>
    </row>
    <row r="37" spans="1:21" s="6" customFormat="1" x14ac:dyDescent="0.25">
      <c r="A37" s="11" t="s">
        <v>41</v>
      </c>
      <c r="B37" s="17">
        <v>43727</v>
      </c>
      <c r="C37" s="5">
        <v>138</v>
      </c>
      <c r="D37" s="19">
        <v>21676.74</v>
      </c>
      <c r="E37" s="19">
        <v>21498.95</v>
      </c>
      <c r="F37" s="19">
        <v>122953.17</v>
      </c>
      <c r="G37" s="19">
        <v>11016.07</v>
      </c>
      <c r="H37" s="19">
        <v>10660.68</v>
      </c>
      <c r="I37" s="19">
        <v>6410.64</v>
      </c>
      <c r="J37" s="19"/>
      <c r="K37" s="19">
        <v>12821.65</v>
      </c>
      <c r="L37" s="19"/>
      <c r="M37" s="19">
        <v>3198.17</v>
      </c>
      <c r="N37" s="19"/>
      <c r="O37" s="19">
        <v>29268.06</v>
      </c>
      <c r="P37" s="19">
        <v>1373.75</v>
      </c>
      <c r="Q37" s="19">
        <v>36434.75</v>
      </c>
      <c r="R37" s="19">
        <v>49343.24</v>
      </c>
      <c r="S37" s="8">
        <v>30441.37</v>
      </c>
      <c r="T37" s="9">
        <f t="shared" si="3"/>
        <v>357097.24</v>
      </c>
    </row>
    <row r="38" spans="1:21" s="6" customFormat="1" x14ac:dyDescent="0.25">
      <c r="A38" s="11" t="s">
        <v>42</v>
      </c>
      <c r="B38" s="17">
        <v>43663</v>
      </c>
      <c r="C38" s="5">
        <v>110</v>
      </c>
      <c r="D38" s="7">
        <v>14814.38</v>
      </c>
      <c r="E38" s="7">
        <v>22707.27</v>
      </c>
      <c r="F38" s="7">
        <v>70853.33</v>
      </c>
      <c r="G38" s="7">
        <v>10442.879999999999</v>
      </c>
      <c r="H38" s="7">
        <v>8803.61</v>
      </c>
      <c r="I38" s="7">
        <v>0</v>
      </c>
      <c r="J38" s="7">
        <v>0</v>
      </c>
      <c r="K38" s="7">
        <v>0</v>
      </c>
      <c r="L38" s="7">
        <v>1092.8900000000001</v>
      </c>
      <c r="M38" s="7">
        <v>1862.72</v>
      </c>
      <c r="N38" s="7">
        <v>0</v>
      </c>
      <c r="O38" s="7">
        <v>30245.8</v>
      </c>
      <c r="P38" s="7">
        <v>550</v>
      </c>
      <c r="Q38" s="7">
        <v>19551.62</v>
      </c>
      <c r="R38" s="7">
        <v>18714.46</v>
      </c>
      <c r="S38" s="8">
        <v>16662.830000000002</v>
      </c>
      <c r="T38" s="9">
        <f t="shared" si="3"/>
        <v>216301.78999999998</v>
      </c>
    </row>
    <row r="39" spans="1:21" s="6" customFormat="1" x14ac:dyDescent="0.25">
      <c r="A39" s="11" t="s">
        <v>43</v>
      </c>
      <c r="B39" s="17">
        <v>43697</v>
      </c>
      <c r="C39" s="5">
        <v>0</v>
      </c>
      <c r="D39" s="19">
        <v>0</v>
      </c>
      <c r="E39" s="19">
        <v>0</v>
      </c>
      <c r="F39" s="19">
        <v>0</v>
      </c>
      <c r="G39" s="19">
        <v>0</v>
      </c>
      <c r="H39" s="19">
        <v>0</v>
      </c>
      <c r="I39" s="19">
        <v>0</v>
      </c>
      <c r="J39" s="19">
        <v>0</v>
      </c>
      <c r="K39" s="19">
        <v>0</v>
      </c>
      <c r="L39" s="19">
        <v>0</v>
      </c>
      <c r="M39" s="19">
        <v>0</v>
      </c>
      <c r="N39" s="19">
        <v>0</v>
      </c>
      <c r="O39" s="19">
        <v>0</v>
      </c>
      <c r="P39" s="19">
        <v>0</v>
      </c>
      <c r="Q39" s="19">
        <v>0</v>
      </c>
      <c r="R39" s="19">
        <v>0</v>
      </c>
      <c r="S39" s="8">
        <v>0</v>
      </c>
      <c r="T39" s="5">
        <v>0</v>
      </c>
      <c r="U39" s="8"/>
    </row>
    <row r="40" spans="1:21" s="6" customFormat="1" x14ac:dyDescent="0.25">
      <c r="A40" s="11" t="s">
        <v>44</v>
      </c>
      <c r="B40" s="17">
        <v>43671</v>
      </c>
      <c r="C40" s="5">
        <v>122</v>
      </c>
      <c r="D40" s="7">
        <v>893.72</v>
      </c>
      <c r="E40" s="7">
        <v>781.97</v>
      </c>
      <c r="F40" s="7">
        <v>4893.53</v>
      </c>
      <c r="G40" s="7">
        <v>857.07</v>
      </c>
      <c r="H40" s="7">
        <v>402.93</v>
      </c>
      <c r="I40" s="7">
        <v>417.11</v>
      </c>
      <c r="J40" s="7">
        <v>0</v>
      </c>
      <c r="K40" s="7">
        <v>0</v>
      </c>
      <c r="L40" s="7">
        <v>0</v>
      </c>
      <c r="M40" s="7">
        <v>65.92</v>
      </c>
      <c r="N40" s="7">
        <v>0</v>
      </c>
      <c r="O40" s="7">
        <v>0</v>
      </c>
      <c r="P40" s="7">
        <v>0</v>
      </c>
      <c r="Q40" s="7">
        <v>4930.49</v>
      </c>
      <c r="R40" s="7">
        <v>0</v>
      </c>
      <c r="S40" s="8">
        <v>0</v>
      </c>
      <c r="T40" s="9">
        <f t="shared" ref="T40:T47" si="4">SUM(D40:S40)</f>
        <v>13242.74</v>
      </c>
    </row>
    <row r="41" spans="1:21" s="6" customFormat="1" x14ac:dyDescent="0.25">
      <c r="A41" s="11" t="s">
        <v>45</v>
      </c>
      <c r="B41" s="17">
        <v>43683</v>
      </c>
      <c r="C41" s="5">
        <v>96</v>
      </c>
      <c r="D41" s="19">
        <v>7277.88</v>
      </c>
      <c r="E41" s="19">
        <v>4737.24</v>
      </c>
      <c r="F41" s="19">
        <v>39892.65</v>
      </c>
      <c r="G41" s="19">
        <v>3985.29</v>
      </c>
      <c r="H41" s="19">
        <v>2366.62</v>
      </c>
      <c r="I41" s="19">
        <v>2434.0300000000002</v>
      </c>
      <c r="J41" s="19">
        <v>0</v>
      </c>
      <c r="K41" s="19">
        <v>3010.67</v>
      </c>
      <c r="L41" s="19">
        <v>3227.92</v>
      </c>
      <c r="M41" s="19">
        <v>489.58</v>
      </c>
      <c r="N41" s="19">
        <v>0</v>
      </c>
      <c r="O41" s="19">
        <v>9607.92</v>
      </c>
      <c r="P41" s="19">
        <v>1228</v>
      </c>
      <c r="Q41" s="19">
        <v>11925.64</v>
      </c>
      <c r="R41" s="19">
        <v>16061.53</v>
      </c>
      <c r="S41" s="8">
        <v>9374.73</v>
      </c>
      <c r="T41" s="9">
        <f t="shared" si="4"/>
        <v>115619.7</v>
      </c>
    </row>
    <row r="42" spans="1:21" s="6" customFormat="1" x14ac:dyDescent="0.25">
      <c r="A42" s="11" t="s">
        <v>46</v>
      </c>
      <c r="B42" s="17">
        <v>43682</v>
      </c>
      <c r="C42" s="5">
        <v>50</v>
      </c>
      <c r="D42" s="19">
        <v>5997.78</v>
      </c>
      <c r="E42" s="19">
        <v>6949.66</v>
      </c>
      <c r="F42" s="19">
        <v>33220</v>
      </c>
      <c r="G42" s="19">
        <v>4805.24</v>
      </c>
      <c r="H42" s="19">
        <v>1376.52</v>
      </c>
      <c r="I42" s="19">
        <v>3017.49</v>
      </c>
      <c r="J42" s="19"/>
      <c r="K42" s="19">
        <v>1127.5</v>
      </c>
      <c r="L42" s="19">
        <v>790.51</v>
      </c>
      <c r="M42" s="19">
        <v>497.44</v>
      </c>
      <c r="N42" s="19"/>
      <c r="O42" s="19">
        <v>8418.15</v>
      </c>
      <c r="P42" s="19">
        <v>351</v>
      </c>
      <c r="Q42" s="19">
        <v>21222.51</v>
      </c>
      <c r="R42" s="19">
        <v>15900.94</v>
      </c>
      <c r="S42" s="8">
        <v>8650.4</v>
      </c>
      <c r="T42" s="9">
        <f t="shared" si="4"/>
        <v>112325.13999999998</v>
      </c>
    </row>
    <row r="43" spans="1:21" s="6" customFormat="1" x14ac:dyDescent="0.25">
      <c r="A43" s="11" t="s">
        <v>47</v>
      </c>
      <c r="B43" s="17">
        <v>43662</v>
      </c>
      <c r="C43" s="5">
        <v>67</v>
      </c>
      <c r="D43" s="7">
        <v>0</v>
      </c>
      <c r="E43" s="7">
        <v>0</v>
      </c>
      <c r="F43" s="7">
        <v>0</v>
      </c>
      <c r="G43" s="7">
        <v>0</v>
      </c>
      <c r="H43" s="7">
        <v>0</v>
      </c>
      <c r="I43" s="7">
        <v>0</v>
      </c>
      <c r="J43" s="7">
        <v>0</v>
      </c>
      <c r="K43" s="7">
        <v>0</v>
      </c>
      <c r="L43" s="7">
        <v>0</v>
      </c>
      <c r="M43" s="7">
        <v>0</v>
      </c>
      <c r="N43" s="7">
        <v>0</v>
      </c>
      <c r="O43" s="7">
        <v>7117.9</v>
      </c>
      <c r="P43" s="7">
        <v>402</v>
      </c>
      <c r="Q43" s="7">
        <v>54722.21</v>
      </c>
      <c r="R43" s="7">
        <v>11076.45</v>
      </c>
      <c r="S43" s="8">
        <v>6472.76</v>
      </c>
      <c r="T43" s="9">
        <f t="shared" si="4"/>
        <v>79791.319999999992</v>
      </c>
    </row>
    <row r="44" spans="1:21" s="6" customFormat="1" x14ac:dyDescent="0.25">
      <c r="A44" s="11" t="s">
        <v>48</v>
      </c>
      <c r="B44" s="17">
        <v>43691</v>
      </c>
      <c r="C44" s="5">
        <v>84</v>
      </c>
      <c r="D44" s="7">
        <v>4064.82</v>
      </c>
      <c r="E44" s="7">
        <v>2236.0500000000002</v>
      </c>
      <c r="F44" s="7">
        <v>17172.66</v>
      </c>
      <c r="G44" s="7">
        <v>3266.47</v>
      </c>
      <c r="H44" s="7">
        <v>867.31</v>
      </c>
      <c r="I44" s="7">
        <v>1564.38</v>
      </c>
      <c r="J44" s="7">
        <v>1468.3</v>
      </c>
      <c r="K44" s="7">
        <v>515.52</v>
      </c>
      <c r="L44" s="7">
        <v>0</v>
      </c>
      <c r="M44" s="7">
        <v>0</v>
      </c>
      <c r="N44" s="7">
        <v>0</v>
      </c>
      <c r="O44" s="7">
        <v>4796.29</v>
      </c>
      <c r="P44" s="7">
        <v>258</v>
      </c>
      <c r="Q44" s="7">
        <v>5332.33</v>
      </c>
      <c r="R44" s="7">
        <v>8012.12</v>
      </c>
      <c r="S44" s="8">
        <v>5233.54</v>
      </c>
      <c r="T44" s="9">
        <f t="shared" si="4"/>
        <v>54787.790000000008</v>
      </c>
    </row>
    <row r="45" spans="1:21" s="6" customFormat="1" x14ac:dyDescent="0.25">
      <c r="A45" s="11" t="s">
        <v>49</v>
      </c>
      <c r="B45" s="17">
        <v>43699</v>
      </c>
      <c r="C45" s="5">
        <v>17</v>
      </c>
      <c r="D45" s="19">
        <v>802.42</v>
      </c>
      <c r="E45" s="19">
        <v>684.04</v>
      </c>
      <c r="F45" s="19">
        <v>3433.32</v>
      </c>
      <c r="G45" s="19">
        <v>578.79</v>
      </c>
      <c r="H45" s="19">
        <v>223.63</v>
      </c>
      <c r="I45" s="19">
        <v>359.9</v>
      </c>
      <c r="J45" s="19">
        <v>0</v>
      </c>
      <c r="K45" s="19">
        <v>0</v>
      </c>
      <c r="L45" s="19">
        <v>2.61</v>
      </c>
      <c r="M45" s="19"/>
      <c r="N45" s="19">
        <v>644.55999999999995</v>
      </c>
      <c r="O45" s="19">
        <v>1043.56</v>
      </c>
      <c r="P45" s="19">
        <v>85</v>
      </c>
      <c r="Q45" s="19">
        <v>1095.22</v>
      </c>
      <c r="R45" s="19">
        <v>1598.9</v>
      </c>
      <c r="S45" s="8">
        <v>1088.46</v>
      </c>
      <c r="T45" s="9">
        <f t="shared" si="4"/>
        <v>11640.41</v>
      </c>
    </row>
    <row r="46" spans="1:21" s="6" customFormat="1" x14ac:dyDescent="0.25">
      <c r="A46" s="11" t="s">
        <v>50</v>
      </c>
      <c r="B46" s="17">
        <v>43685</v>
      </c>
      <c r="C46" s="5">
        <v>125</v>
      </c>
      <c r="D46" s="7">
        <v>11452.54</v>
      </c>
      <c r="E46" s="7">
        <v>30133.29</v>
      </c>
      <c r="F46" s="7">
        <v>79111.05</v>
      </c>
      <c r="G46" s="7">
        <v>8260.81</v>
      </c>
      <c r="H46" s="7">
        <v>7509.85</v>
      </c>
      <c r="I46" s="7">
        <v>2116.85</v>
      </c>
      <c r="J46" s="7"/>
      <c r="K46" s="7">
        <v>4313.25</v>
      </c>
      <c r="L46" s="7">
        <v>2116.5500000000002</v>
      </c>
      <c r="M46" s="7"/>
      <c r="N46" s="7">
        <v>5379.62</v>
      </c>
      <c r="O46" s="7">
        <v>21841.56</v>
      </c>
      <c r="P46" s="7">
        <v>1250</v>
      </c>
      <c r="Q46" s="7">
        <v>24403.33</v>
      </c>
      <c r="R46" s="7">
        <v>35209.42</v>
      </c>
      <c r="S46" s="8">
        <v>19354.759999999998</v>
      </c>
      <c r="T46" s="9">
        <f t="shared" si="4"/>
        <v>252452.88</v>
      </c>
    </row>
    <row r="47" spans="1:21" s="6" customFormat="1" x14ac:dyDescent="0.25">
      <c r="A47" s="11" t="s">
        <v>51</v>
      </c>
      <c r="B47" s="17">
        <v>43726</v>
      </c>
      <c r="C47" s="5">
        <v>15</v>
      </c>
      <c r="D47" s="19">
        <v>898.54</v>
      </c>
      <c r="E47" s="19">
        <v>412.43</v>
      </c>
      <c r="F47" s="19">
        <v>4676.78</v>
      </c>
      <c r="G47" s="19">
        <v>846.98</v>
      </c>
      <c r="H47" s="19">
        <v>313</v>
      </c>
      <c r="I47" s="19"/>
      <c r="J47" s="19"/>
      <c r="K47" s="19"/>
      <c r="L47" s="19">
        <v>3.78</v>
      </c>
      <c r="M47" s="19"/>
      <c r="N47" s="19"/>
      <c r="O47" s="19">
        <v>979.5</v>
      </c>
      <c r="P47" s="19">
        <v>360</v>
      </c>
      <c r="Q47" s="19">
        <v>1245.9100000000001</v>
      </c>
      <c r="R47" s="19">
        <v>1679.47</v>
      </c>
      <c r="S47" s="8">
        <v>1064.76</v>
      </c>
      <c r="T47" s="9">
        <f t="shared" si="4"/>
        <v>12481.149999999998</v>
      </c>
    </row>
    <row r="48" spans="1:21" s="6" customFormat="1" x14ac:dyDescent="0.25">
      <c r="A48" s="11" t="s">
        <v>52</v>
      </c>
      <c r="B48" s="17">
        <v>43689</v>
      </c>
      <c r="C48" s="5">
        <v>254</v>
      </c>
      <c r="D48" s="7">
        <v>24155.47</v>
      </c>
      <c r="E48" s="7">
        <v>23869.919999999998</v>
      </c>
      <c r="F48" s="7">
        <v>130635.08</v>
      </c>
      <c r="G48" s="7">
        <v>0</v>
      </c>
      <c r="H48" s="7">
        <v>4355.93</v>
      </c>
      <c r="I48" s="7">
        <v>3102.58</v>
      </c>
      <c r="J48" s="7"/>
      <c r="K48" s="7">
        <v>10.99</v>
      </c>
      <c r="L48" s="7">
        <v>9783.4699999999993</v>
      </c>
      <c r="M48" s="7"/>
      <c r="N48" s="7"/>
      <c r="O48" s="7">
        <v>22457.9</v>
      </c>
      <c r="P48" s="7">
        <v>0</v>
      </c>
      <c r="Q48" s="7">
        <v>0</v>
      </c>
      <c r="R48" s="7">
        <v>38776.21</v>
      </c>
      <c r="S48" s="8">
        <v>22944.02</v>
      </c>
      <c r="T48" s="9">
        <f t="shared" ref="T48:T55" si="5">SUM(D48:S48)</f>
        <v>280091.56999999995</v>
      </c>
    </row>
    <row r="49" spans="1:20" s="6" customFormat="1" x14ac:dyDescent="0.25">
      <c r="A49" s="11" t="s">
        <v>53</v>
      </c>
      <c r="B49" s="17">
        <v>43675</v>
      </c>
      <c r="C49" s="5">
        <v>10</v>
      </c>
      <c r="D49" s="19">
        <v>190.59</v>
      </c>
      <c r="E49" s="19">
        <v>651.20000000000005</v>
      </c>
      <c r="F49" s="19">
        <v>928.72</v>
      </c>
      <c r="G49" s="19">
        <v>156.19999999999999</v>
      </c>
      <c r="H49" s="19">
        <v>85.92</v>
      </c>
      <c r="I49" s="19">
        <v>156.19999999999999</v>
      </c>
      <c r="J49" s="19">
        <v>0</v>
      </c>
      <c r="K49" s="19">
        <v>0</v>
      </c>
      <c r="L49" s="19">
        <v>0</v>
      </c>
      <c r="M49" s="19">
        <v>24.6</v>
      </c>
      <c r="N49" s="19">
        <v>0</v>
      </c>
      <c r="O49" s="19">
        <v>323.85000000000002</v>
      </c>
      <c r="P49" s="19">
        <v>0</v>
      </c>
      <c r="Q49" s="19">
        <v>294.49</v>
      </c>
      <c r="R49" s="19">
        <v>521.61</v>
      </c>
      <c r="S49" s="8">
        <v>480.84</v>
      </c>
      <c r="T49" s="9">
        <f t="shared" si="5"/>
        <v>3814.2200000000007</v>
      </c>
    </row>
    <row r="50" spans="1:20" s="6" customFormat="1" x14ac:dyDescent="0.25">
      <c r="A50" s="11" t="s">
        <v>54</v>
      </c>
      <c r="B50" s="17">
        <v>43698</v>
      </c>
      <c r="C50" s="5">
        <v>27</v>
      </c>
      <c r="D50" s="19">
        <v>2312.8000000000002</v>
      </c>
      <c r="E50" s="19">
        <v>1990.52</v>
      </c>
      <c r="F50" s="19">
        <v>9572.4699999999993</v>
      </c>
      <c r="G50" s="19">
        <v>1327.01</v>
      </c>
      <c r="H50" s="19">
        <v>853.09</v>
      </c>
      <c r="I50" s="19">
        <v>1052.1600000000001</v>
      </c>
      <c r="J50" s="19">
        <v>0</v>
      </c>
      <c r="K50" s="19">
        <v>990.39</v>
      </c>
      <c r="L50" s="19">
        <v>0</v>
      </c>
      <c r="M50" s="19">
        <v>208.55</v>
      </c>
      <c r="N50" s="19">
        <v>0</v>
      </c>
      <c r="O50" s="19">
        <v>2457.15</v>
      </c>
      <c r="P50" s="19">
        <v>270</v>
      </c>
      <c r="Q50" s="19">
        <v>2970.23</v>
      </c>
      <c r="R50" s="19">
        <v>4309.6400000000003</v>
      </c>
      <c r="S50" s="8">
        <v>2397.85</v>
      </c>
      <c r="T50" s="9">
        <f t="shared" si="5"/>
        <v>30711.859999999997</v>
      </c>
    </row>
    <row r="51" spans="1:20" s="6" customFormat="1" x14ac:dyDescent="0.25">
      <c r="A51" s="11" t="s">
        <v>55</v>
      </c>
      <c r="B51" s="17">
        <v>43683</v>
      </c>
      <c r="C51" s="5">
        <v>16</v>
      </c>
      <c r="D51" s="7">
        <v>2093.71</v>
      </c>
      <c r="E51" s="7">
        <v>1801.98</v>
      </c>
      <c r="F51" s="7">
        <v>10228.33</v>
      </c>
      <c r="G51" s="7">
        <v>1630.37</v>
      </c>
      <c r="H51" s="7">
        <v>0</v>
      </c>
      <c r="I51" s="7">
        <v>0</v>
      </c>
      <c r="J51" s="7">
        <v>0</v>
      </c>
      <c r="K51" s="7">
        <v>420</v>
      </c>
      <c r="L51" s="7">
        <v>1.8</v>
      </c>
      <c r="M51" s="7">
        <v>0</v>
      </c>
      <c r="N51" s="7">
        <v>1269.95</v>
      </c>
      <c r="O51" s="7">
        <v>2646.81</v>
      </c>
      <c r="P51" s="7">
        <v>160</v>
      </c>
      <c r="Q51" s="7">
        <v>2836.48</v>
      </c>
      <c r="R51" s="7">
        <v>4056.54</v>
      </c>
      <c r="S51" s="8">
        <v>2268.2600000000002</v>
      </c>
      <c r="T51" s="9">
        <f t="shared" si="5"/>
        <v>29414.230000000003</v>
      </c>
    </row>
    <row r="52" spans="1:20" s="6" customFormat="1" x14ac:dyDescent="0.25">
      <c r="A52" s="11" t="s">
        <v>144</v>
      </c>
      <c r="B52" s="17">
        <v>43691</v>
      </c>
      <c r="C52" s="5">
        <v>6</v>
      </c>
      <c r="D52" s="19">
        <v>703.21</v>
      </c>
      <c r="E52" s="19">
        <v>737.79</v>
      </c>
      <c r="F52" s="19">
        <v>3637</v>
      </c>
      <c r="G52" s="19">
        <v>587.95000000000005</v>
      </c>
      <c r="H52" s="19">
        <v>288.5</v>
      </c>
      <c r="I52" s="19">
        <v>188.48</v>
      </c>
      <c r="J52" s="19">
        <v>0</v>
      </c>
      <c r="K52" s="19">
        <v>110</v>
      </c>
      <c r="L52" s="19"/>
      <c r="M52" s="19"/>
      <c r="N52" s="19"/>
      <c r="O52" s="19">
        <v>887.36</v>
      </c>
      <c r="P52" s="19">
        <v>25</v>
      </c>
      <c r="Q52" s="19">
        <v>1013.52</v>
      </c>
      <c r="R52" s="19">
        <v>1463.23</v>
      </c>
      <c r="S52" s="8">
        <v>801.62</v>
      </c>
      <c r="T52" s="9">
        <f t="shared" si="5"/>
        <v>10443.66</v>
      </c>
    </row>
    <row r="53" spans="1:20" s="6" customFormat="1" x14ac:dyDescent="0.25">
      <c r="A53" s="11" t="s">
        <v>145</v>
      </c>
      <c r="B53" s="17">
        <v>43691</v>
      </c>
      <c r="C53" s="5">
        <v>50</v>
      </c>
      <c r="D53" s="19">
        <v>5454.38</v>
      </c>
      <c r="E53" s="19">
        <v>5726.23</v>
      </c>
      <c r="F53" s="19">
        <v>28210.7</v>
      </c>
      <c r="G53" s="19">
        <v>4560.22</v>
      </c>
      <c r="H53" s="19">
        <v>2235.4</v>
      </c>
      <c r="I53" s="19">
        <v>1461.51</v>
      </c>
      <c r="J53" s="19"/>
      <c r="K53" s="19">
        <v>1081.5</v>
      </c>
      <c r="L53" s="19" t="s">
        <v>146</v>
      </c>
      <c r="M53" s="19"/>
      <c r="N53" s="19"/>
      <c r="O53" s="19">
        <v>6915.58</v>
      </c>
      <c r="P53" s="19">
        <v>244.23</v>
      </c>
      <c r="Q53" s="19">
        <v>7901.03</v>
      </c>
      <c r="R53" s="19">
        <v>11426.63</v>
      </c>
      <c r="S53" s="8">
        <v>6397.13</v>
      </c>
      <c r="T53" s="9">
        <f t="shared" si="5"/>
        <v>81614.540000000008</v>
      </c>
    </row>
    <row r="54" spans="1:20" s="6" customFormat="1" x14ac:dyDescent="0.25">
      <c r="A54" s="11" t="s">
        <v>57</v>
      </c>
      <c r="B54" s="17">
        <v>43677</v>
      </c>
      <c r="C54" s="5">
        <v>20</v>
      </c>
      <c r="D54" s="7">
        <v>1453.75</v>
      </c>
      <c r="E54" s="7">
        <v>1394.16</v>
      </c>
      <c r="F54" s="7">
        <v>9072.26</v>
      </c>
      <c r="G54" s="7">
        <v>1215.43</v>
      </c>
      <c r="H54" s="7">
        <v>476.64</v>
      </c>
      <c r="I54" s="7">
        <v>560.04</v>
      </c>
      <c r="J54" s="7"/>
      <c r="K54" s="7">
        <v>525</v>
      </c>
      <c r="L54" s="7">
        <v>76.03</v>
      </c>
      <c r="M54" s="7">
        <v>85.81</v>
      </c>
      <c r="N54" s="7"/>
      <c r="O54" s="7">
        <v>2185.8000000000002</v>
      </c>
      <c r="P54" s="7">
        <v>220</v>
      </c>
      <c r="Q54" s="7">
        <v>2227.25</v>
      </c>
      <c r="R54" s="7">
        <v>3447.41</v>
      </c>
      <c r="S54" s="8">
        <v>2008.72</v>
      </c>
      <c r="T54" s="9">
        <f t="shared" si="5"/>
        <v>24948.3</v>
      </c>
    </row>
    <row r="55" spans="1:20" s="6" customFormat="1" x14ac:dyDescent="0.25">
      <c r="A55" s="11" t="s">
        <v>58</v>
      </c>
      <c r="B55" s="17">
        <v>43685</v>
      </c>
      <c r="C55" s="5">
        <v>0</v>
      </c>
      <c r="D55" s="7">
        <v>0</v>
      </c>
      <c r="E55" s="7">
        <v>0</v>
      </c>
      <c r="F55" s="7">
        <v>0</v>
      </c>
      <c r="G55" s="7">
        <v>0</v>
      </c>
      <c r="H55" s="7">
        <v>0</v>
      </c>
      <c r="I55" s="7">
        <v>0</v>
      </c>
      <c r="J55" s="7">
        <v>0</v>
      </c>
      <c r="K55" s="7">
        <v>0</v>
      </c>
      <c r="L55" s="7">
        <v>0</v>
      </c>
      <c r="M55" s="7">
        <v>0</v>
      </c>
      <c r="N55" s="7">
        <v>0</v>
      </c>
      <c r="O55" s="7">
        <v>0</v>
      </c>
      <c r="P55" s="7">
        <v>0</v>
      </c>
      <c r="Q55" s="7">
        <v>0</v>
      </c>
      <c r="R55" s="7">
        <v>0</v>
      </c>
      <c r="S55" s="8">
        <v>0</v>
      </c>
      <c r="T55" s="9">
        <f t="shared" si="5"/>
        <v>0</v>
      </c>
    </row>
    <row r="56" spans="1:20" s="6" customFormat="1" x14ac:dyDescent="0.25">
      <c r="A56" s="11" t="s">
        <v>59</v>
      </c>
      <c r="B56" s="17">
        <v>43726</v>
      </c>
      <c r="C56" s="5">
        <v>110</v>
      </c>
      <c r="D56" s="19">
        <v>9881.44</v>
      </c>
      <c r="E56" s="19">
        <v>11744.61</v>
      </c>
      <c r="F56" s="19">
        <v>55922.86</v>
      </c>
      <c r="G56" s="19">
        <v>0</v>
      </c>
      <c r="H56" s="19">
        <v>3158.89</v>
      </c>
      <c r="I56" s="19">
        <v>2021.68</v>
      </c>
      <c r="J56" s="19"/>
      <c r="K56" s="19">
        <v>2473.92</v>
      </c>
      <c r="L56" s="19">
        <v>61.43</v>
      </c>
      <c r="M56" s="19">
        <v>0</v>
      </c>
      <c r="N56" s="19">
        <v>0</v>
      </c>
      <c r="O56" s="19">
        <v>10171.52</v>
      </c>
      <c r="P56" s="19">
        <v>1430</v>
      </c>
      <c r="Q56" s="19"/>
      <c r="R56" s="19">
        <v>17347.12</v>
      </c>
      <c r="S56" s="8">
        <v>9663.61</v>
      </c>
      <c r="T56" s="9">
        <f t="shared" ref="T56:T61" si="6">SUM(D56:S56)</f>
        <v>123877.07999999999</v>
      </c>
    </row>
    <row r="57" spans="1:20" s="6" customFormat="1" x14ac:dyDescent="0.25">
      <c r="A57" s="11" t="s">
        <v>60</v>
      </c>
      <c r="B57" s="17">
        <v>43678</v>
      </c>
      <c r="C57" s="5">
        <v>0</v>
      </c>
      <c r="D57" s="7">
        <v>0</v>
      </c>
      <c r="E57" s="7">
        <v>0</v>
      </c>
      <c r="F57" s="7">
        <v>0</v>
      </c>
      <c r="G57" s="7">
        <v>0</v>
      </c>
      <c r="H57" s="7">
        <v>0</v>
      </c>
      <c r="I57" s="7">
        <v>0</v>
      </c>
      <c r="J57" s="7">
        <v>0</v>
      </c>
      <c r="K57" s="7">
        <v>0</v>
      </c>
      <c r="L57" s="7">
        <v>0</v>
      </c>
      <c r="M57" s="7">
        <v>0</v>
      </c>
      <c r="N57" s="7">
        <v>0</v>
      </c>
      <c r="O57" s="7">
        <v>0</v>
      </c>
      <c r="P57" s="7">
        <v>0</v>
      </c>
      <c r="Q57" s="7">
        <v>0</v>
      </c>
      <c r="R57" s="7">
        <v>0</v>
      </c>
      <c r="S57" s="8">
        <v>0</v>
      </c>
      <c r="T57" s="9">
        <f t="shared" si="6"/>
        <v>0</v>
      </c>
    </row>
    <row r="58" spans="1:20" s="6" customFormat="1" x14ac:dyDescent="0.25">
      <c r="A58" s="11" t="s">
        <v>61</v>
      </c>
      <c r="B58" s="17">
        <v>43665</v>
      </c>
      <c r="C58" s="5">
        <v>1051</v>
      </c>
      <c r="D58" s="18">
        <v>176463.72</v>
      </c>
      <c r="E58" s="19">
        <v>178633.61</v>
      </c>
      <c r="F58" s="18">
        <v>1014486.64</v>
      </c>
      <c r="G58" s="19">
        <v>0</v>
      </c>
      <c r="H58" s="19">
        <v>0</v>
      </c>
      <c r="I58" s="19">
        <v>124013.7</v>
      </c>
      <c r="J58" s="19">
        <v>0</v>
      </c>
      <c r="K58" s="20">
        <v>138801.01</v>
      </c>
      <c r="L58" s="19">
        <v>2102</v>
      </c>
      <c r="M58" s="19">
        <v>0</v>
      </c>
      <c r="N58" s="19">
        <v>0</v>
      </c>
      <c r="O58" s="19">
        <v>191604.43</v>
      </c>
      <c r="P58" s="19">
        <v>55703</v>
      </c>
      <c r="Q58" s="19"/>
      <c r="R58" s="19">
        <v>326479.68</v>
      </c>
      <c r="S58" s="8">
        <v>208433.02</v>
      </c>
      <c r="T58" s="9">
        <f t="shared" si="6"/>
        <v>2416720.81</v>
      </c>
    </row>
    <row r="59" spans="1:20" s="6" customFormat="1" x14ac:dyDescent="0.25">
      <c r="A59" s="11" t="s">
        <v>62</v>
      </c>
      <c r="B59" s="17">
        <v>43703</v>
      </c>
      <c r="C59" s="5">
        <v>66</v>
      </c>
      <c r="D59" s="19">
        <v>7565.82</v>
      </c>
      <c r="E59" s="19">
        <v>4775.17</v>
      </c>
      <c r="F59" s="19">
        <v>42976.24</v>
      </c>
      <c r="G59" s="19">
        <v>7131.71</v>
      </c>
      <c r="H59" s="19">
        <v>1860.45</v>
      </c>
      <c r="I59" s="19">
        <v>1054.29</v>
      </c>
      <c r="J59" s="19"/>
      <c r="K59" s="19">
        <v>2219.29</v>
      </c>
      <c r="L59" s="19"/>
      <c r="M59" s="19"/>
      <c r="N59" s="19"/>
      <c r="O59" s="19">
        <v>9214.26</v>
      </c>
      <c r="P59" s="19">
        <v>594</v>
      </c>
      <c r="Q59" s="19">
        <v>10936.13</v>
      </c>
      <c r="R59" s="19">
        <v>15835.79</v>
      </c>
      <c r="S59" s="8">
        <v>8841.93</v>
      </c>
      <c r="T59" s="9">
        <f t="shared" si="6"/>
        <v>113005.07999999999</v>
      </c>
    </row>
    <row r="60" spans="1:20" s="6" customFormat="1" x14ac:dyDescent="0.25">
      <c r="A60" s="11" t="s">
        <v>63</v>
      </c>
      <c r="B60" s="17">
        <v>43755</v>
      </c>
      <c r="C60" s="5">
        <v>100</v>
      </c>
      <c r="D60" s="19">
        <v>8958.7999999999993</v>
      </c>
      <c r="E60" s="19">
        <v>6829.18</v>
      </c>
      <c r="F60" s="19">
        <v>19333.22</v>
      </c>
      <c r="G60" s="19">
        <v>6241.77</v>
      </c>
      <c r="H60" s="19">
        <v>4405.92</v>
      </c>
      <c r="I60" s="19"/>
      <c r="J60" s="19"/>
      <c r="K60" s="19">
        <v>1136.76</v>
      </c>
      <c r="L60" s="19">
        <v>2723.58</v>
      </c>
      <c r="M60" s="19">
        <v>555.86</v>
      </c>
      <c r="N60" s="19"/>
      <c r="O60" s="19">
        <v>7773.82</v>
      </c>
      <c r="P60" s="19">
        <v>600</v>
      </c>
      <c r="Q60" s="19">
        <v>9426.98</v>
      </c>
      <c r="R60" s="19">
        <v>11922.44</v>
      </c>
      <c r="S60" s="8">
        <v>7461.18</v>
      </c>
      <c r="T60" s="9">
        <f t="shared" si="6"/>
        <v>87369.510000000009</v>
      </c>
    </row>
    <row r="61" spans="1:20" s="6" customFormat="1" x14ac:dyDescent="0.25">
      <c r="A61" s="11" t="s">
        <v>64</v>
      </c>
      <c r="B61" s="17">
        <v>43669</v>
      </c>
      <c r="C61" s="5">
        <v>200</v>
      </c>
      <c r="D61" s="7">
        <v>0</v>
      </c>
      <c r="E61" s="7">
        <v>0</v>
      </c>
      <c r="F61" s="7">
        <v>0</v>
      </c>
      <c r="G61" s="7">
        <v>0</v>
      </c>
      <c r="H61" s="7">
        <v>0</v>
      </c>
      <c r="I61" s="7">
        <v>0</v>
      </c>
      <c r="J61" s="7">
        <v>0</v>
      </c>
      <c r="K61" s="7">
        <v>0</v>
      </c>
      <c r="L61" s="7">
        <v>1800</v>
      </c>
      <c r="M61" s="7">
        <v>0</v>
      </c>
      <c r="N61" s="7">
        <v>0</v>
      </c>
      <c r="O61" s="7">
        <v>34722.07</v>
      </c>
      <c r="P61" s="7"/>
      <c r="Q61" s="7">
        <v>290274</v>
      </c>
      <c r="R61" s="7">
        <v>58454.7</v>
      </c>
      <c r="S61" s="8">
        <v>37627.5</v>
      </c>
      <c r="T61" s="9">
        <f t="shared" si="6"/>
        <v>422878.27</v>
      </c>
    </row>
    <row r="62" spans="1:20" s="6" customFormat="1" x14ac:dyDescent="0.25">
      <c r="A62" s="11" t="s">
        <v>65</v>
      </c>
      <c r="B62" s="17">
        <v>43719</v>
      </c>
      <c r="C62" s="5">
        <v>16</v>
      </c>
      <c r="D62" s="19">
        <v>150</v>
      </c>
      <c r="E62" s="19">
        <v>206.94</v>
      </c>
      <c r="F62" s="19">
        <v>761.61</v>
      </c>
      <c r="G62" s="19">
        <v>0</v>
      </c>
      <c r="H62" s="19">
        <v>65.61</v>
      </c>
      <c r="I62" s="19">
        <v>72.84</v>
      </c>
      <c r="J62" s="19">
        <v>0</v>
      </c>
      <c r="K62" s="19">
        <v>0</v>
      </c>
      <c r="L62" s="19">
        <v>7.12</v>
      </c>
      <c r="M62" s="19">
        <v>18.71</v>
      </c>
      <c r="N62" s="19">
        <v>0</v>
      </c>
      <c r="O62" s="19">
        <v>199.04</v>
      </c>
      <c r="P62" s="19">
        <v>170</v>
      </c>
      <c r="Q62" s="19">
        <v>424.23</v>
      </c>
      <c r="R62" s="19">
        <v>350.83</v>
      </c>
      <c r="S62" s="8">
        <v>410.75</v>
      </c>
      <c r="T62" s="9">
        <f t="shared" ref="T62:T72" si="7">SUM(D62:S62)</f>
        <v>2837.6799999999994</v>
      </c>
    </row>
    <row r="63" spans="1:20" s="6" customFormat="1" x14ac:dyDescent="0.25">
      <c r="A63" s="11" t="s">
        <v>66</v>
      </c>
      <c r="B63" s="17">
        <v>43756</v>
      </c>
      <c r="C63" s="5">
        <v>50</v>
      </c>
      <c r="D63" s="7">
        <v>4678.2</v>
      </c>
      <c r="E63" s="7">
        <v>4179.7299999999996</v>
      </c>
      <c r="F63" s="7">
        <v>19338.09</v>
      </c>
      <c r="G63" s="7">
        <v>3067.67</v>
      </c>
      <c r="H63" s="7">
        <v>1533.84</v>
      </c>
      <c r="I63" s="7">
        <v>1342.1</v>
      </c>
      <c r="J63" s="7">
        <v>2684.22</v>
      </c>
      <c r="K63" s="7">
        <v>1564.8</v>
      </c>
      <c r="L63" s="7">
        <v>43.84</v>
      </c>
      <c r="M63" s="7">
        <v>843.61</v>
      </c>
      <c r="N63" s="7">
        <v>1073.69</v>
      </c>
      <c r="O63" s="7">
        <v>6264.01</v>
      </c>
      <c r="P63" s="7">
        <v>250</v>
      </c>
      <c r="Q63" s="7">
        <v>7580.35</v>
      </c>
      <c r="R63" s="7">
        <v>9586.0300000000007</v>
      </c>
      <c r="S63" s="8">
        <v>5543.04</v>
      </c>
      <c r="T63" s="9">
        <f t="shared" si="7"/>
        <v>69573.22</v>
      </c>
    </row>
    <row r="64" spans="1:20" s="6" customFormat="1" x14ac:dyDescent="0.25">
      <c r="A64" s="11" t="s">
        <v>67</v>
      </c>
      <c r="B64" s="17">
        <v>43689</v>
      </c>
      <c r="C64" s="5">
        <v>20</v>
      </c>
      <c r="D64" s="19">
        <v>1395.22</v>
      </c>
      <c r="E64" s="19">
        <v>2596.02</v>
      </c>
      <c r="F64" s="19">
        <v>5752.43</v>
      </c>
      <c r="G64" s="19">
        <v>720.48</v>
      </c>
      <c r="H64" s="19">
        <v>320.2</v>
      </c>
      <c r="I64" s="19">
        <v>537.15</v>
      </c>
      <c r="J64" s="19">
        <v>0</v>
      </c>
      <c r="K64" s="19">
        <v>800.11</v>
      </c>
      <c r="L64" s="19">
        <v>0</v>
      </c>
      <c r="M64" s="19">
        <v>0</v>
      </c>
      <c r="N64" s="19">
        <v>0</v>
      </c>
      <c r="O64" s="19">
        <v>1624.5</v>
      </c>
      <c r="P64" s="19"/>
      <c r="Q64" s="19"/>
      <c r="R64" s="19">
        <v>2470.71</v>
      </c>
      <c r="S64" s="8">
        <v>1444.18</v>
      </c>
      <c r="T64" s="9">
        <f t="shared" si="7"/>
        <v>17661</v>
      </c>
    </row>
    <row r="65" spans="1:26" s="6" customFormat="1" x14ac:dyDescent="0.25">
      <c r="A65" s="11" t="s">
        <v>68</v>
      </c>
      <c r="B65" s="17">
        <v>43663</v>
      </c>
      <c r="C65" s="5">
        <v>113</v>
      </c>
      <c r="D65" s="19">
        <v>15043.73</v>
      </c>
      <c r="E65" s="19">
        <v>7398.54</v>
      </c>
      <c r="F65" s="19">
        <v>60421.41</v>
      </c>
      <c r="G65" s="19">
        <v>9864.7199999999993</v>
      </c>
      <c r="H65" s="19">
        <v>4932.3599999999997</v>
      </c>
      <c r="I65" s="19">
        <v>4436.55</v>
      </c>
      <c r="J65" s="19">
        <v>0</v>
      </c>
      <c r="K65" s="19">
        <v>459.59</v>
      </c>
      <c r="L65" s="19">
        <v>577.65</v>
      </c>
      <c r="M65" s="19">
        <v>0</v>
      </c>
      <c r="N65" s="19">
        <v>0</v>
      </c>
      <c r="O65" s="19">
        <v>14617.8</v>
      </c>
      <c r="P65" s="19">
        <v>1356</v>
      </c>
      <c r="Q65" s="19">
        <v>15351.18</v>
      </c>
      <c r="R65" s="19">
        <v>23922.98</v>
      </c>
      <c r="S65" s="8">
        <v>13543.58</v>
      </c>
      <c r="T65" s="9">
        <f t="shared" si="7"/>
        <v>171926.09</v>
      </c>
    </row>
    <row r="66" spans="1:26" s="6" customFormat="1" x14ac:dyDescent="0.25">
      <c r="A66" s="11" t="s">
        <v>69</v>
      </c>
      <c r="B66" s="17">
        <v>43753</v>
      </c>
      <c r="C66" s="5">
        <v>94</v>
      </c>
      <c r="D66" s="19">
        <v>8208.56</v>
      </c>
      <c r="E66" s="19">
        <v>11303.65</v>
      </c>
      <c r="F66" s="19">
        <v>39966.379999999997</v>
      </c>
      <c r="G66" s="19">
        <v>9890.7000000000007</v>
      </c>
      <c r="H66" s="19">
        <v>4037.01</v>
      </c>
      <c r="I66" s="19">
        <v>5093.3999999999996</v>
      </c>
      <c r="J66" s="19">
        <v>0</v>
      </c>
      <c r="K66" s="19">
        <v>1408.59</v>
      </c>
      <c r="L66" s="19"/>
      <c r="M66" s="19">
        <v>1547.56</v>
      </c>
      <c r="N66" s="19"/>
      <c r="O66" s="19">
        <v>12138.22</v>
      </c>
      <c r="P66" s="19">
        <v>846</v>
      </c>
      <c r="Q66" s="19">
        <v>15199.57</v>
      </c>
      <c r="R66" s="19">
        <v>19381.11</v>
      </c>
      <c r="S66" s="8">
        <v>10992.57</v>
      </c>
      <c r="T66" s="9">
        <f t="shared" si="7"/>
        <v>140013.31999999998</v>
      </c>
    </row>
    <row r="67" spans="1:26" s="29" customFormat="1" x14ac:dyDescent="0.25">
      <c r="A67" s="11" t="s">
        <v>70</v>
      </c>
      <c r="B67" s="17">
        <v>43754</v>
      </c>
      <c r="C67" s="47">
        <v>28</v>
      </c>
      <c r="D67" s="19">
        <v>1467.09</v>
      </c>
      <c r="E67" s="19">
        <v>5895.89</v>
      </c>
      <c r="F67" s="19">
        <v>5289.51</v>
      </c>
      <c r="G67" s="19">
        <v>1986.12</v>
      </c>
      <c r="H67" s="19">
        <v>828.56</v>
      </c>
      <c r="I67" s="19">
        <v>912.45</v>
      </c>
      <c r="J67" s="19"/>
      <c r="K67" s="19"/>
      <c r="L67" s="19">
        <v>12.87</v>
      </c>
      <c r="M67" s="19">
        <v>336.1</v>
      </c>
      <c r="N67" s="19"/>
      <c r="O67" s="19">
        <v>3102.62</v>
      </c>
      <c r="P67" s="19">
        <v>330</v>
      </c>
      <c r="Q67" s="19">
        <v>3327.28</v>
      </c>
      <c r="R67" s="19">
        <v>4077.19</v>
      </c>
      <c r="S67" s="8">
        <v>2500.59</v>
      </c>
      <c r="T67" s="9">
        <f t="shared" si="7"/>
        <v>30066.269999999997</v>
      </c>
      <c r="U67" s="6"/>
      <c r="V67" s="6"/>
      <c r="W67" s="6"/>
      <c r="X67" s="6"/>
      <c r="Y67" s="6"/>
      <c r="Z67" s="6"/>
    </row>
    <row r="68" spans="1:26" s="6" customFormat="1" x14ac:dyDescent="0.25">
      <c r="A68" s="11" t="s">
        <v>71</v>
      </c>
      <c r="B68" s="17">
        <v>43752</v>
      </c>
      <c r="C68" s="5">
        <v>25</v>
      </c>
      <c r="D68" s="19">
        <v>1993.47</v>
      </c>
      <c r="E68" s="19">
        <v>3355.62</v>
      </c>
      <c r="F68" s="19">
        <v>10800.78</v>
      </c>
      <c r="G68" s="19">
        <v>2892.21</v>
      </c>
      <c r="H68" s="19">
        <v>817.02</v>
      </c>
      <c r="I68" s="19">
        <v>1738.56</v>
      </c>
      <c r="J68" s="19">
        <v>0</v>
      </c>
      <c r="K68" s="19">
        <v>10.14</v>
      </c>
      <c r="L68" s="19">
        <v>65.86</v>
      </c>
      <c r="M68" s="19">
        <v>326.8</v>
      </c>
      <c r="N68" s="19">
        <v>0</v>
      </c>
      <c r="O68" s="19">
        <v>2640.21</v>
      </c>
      <c r="P68" s="19">
        <v>0</v>
      </c>
      <c r="Q68" s="19"/>
      <c r="R68" s="19">
        <v>4390.0600000000004</v>
      </c>
      <c r="S68" s="8">
        <v>3245.07</v>
      </c>
      <c r="T68" s="9">
        <f t="shared" si="7"/>
        <v>32275.800000000003</v>
      </c>
    </row>
    <row r="69" spans="1:26" s="6" customFormat="1" x14ac:dyDescent="0.25">
      <c r="A69" s="11" t="s">
        <v>72</v>
      </c>
      <c r="B69" s="17">
        <v>43690</v>
      </c>
      <c r="C69" s="5">
        <v>7</v>
      </c>
      <c r="D69" s="19"/>
      <c r="E69" s="19"/>
      <c r="F69" s="19"/>
      <c r="G69" s="19"/>
      <c r="H69" s="19">
        <v>187.12</v>
      </c>
      <c r="I69" s="19"/>
      <c r="J69" s="19"/>
      <c r="K69" s="19"/>
      <c r="L69" s="19"/>
      <c r="M69" s="19"/>
      <c r="N69" s="19"/>
      <c r="O69" s="19">
        <v>440.5</v>
      </c>
      <c r="P69" s="19">
        <v>78</v>
      </c>
      <c r="Q69" s="19">
        <v>3228.48</v>
      </c>
      <c r="R69" s="19">
        <v>682.38</v>
      </c>
      <c r="S69" s="8">
        <v>431.19</v>
      </c>
      <c r="T69" s="9">
        <f t="shared" si="7"/>
        <v>5047.6699999999992</v>
      </c>
    </row>
    <row r="70" spans="1:26" s="6" customFormat="1" x14ac:dyDescent="0.25">
      <c r="A70" s="11" t="s">
        <v>73</v>
      </c>
      <c r="B70" s="17">
        <v>43665</v>
      </c>
      <c r="C70" s="5">
        <v>38</v>
      </c>
      <c r="D70" s="7">
        <v>2062.84</v>
      </c>
      <c r="E70" s="7">
        <v>2333.9899999999998</v>
      </c>
      <c r="F70" s="7">
        <v>8349.98</v>
      </c>
      <c r="G70" s="7">
        <v>1386.5</v>
      </c>
      <c r="H70" s="7">
        <v>930</v>
      </c>
      <c r="I70" s="7">
        <v>1065.24</v>
      </c>
      <c r="J70" s="7"/>
      <c r="K70" s="7">
        <v>749.54</v>
      </c>
      <c r="L70" s="7">
        <v>78</v>
      </c>
      <c r="M70" s="7"/>
      <c r="N70" s="7"/>
      <c r="O70" s="7">
        <v>2273.2800000000002</v>
      </c>
      <c r="P70" s="7"/>
      <c r="Q70" s="7"/>
      <c r="R70" s="7">
        <v>3351.82</v>
      </c>
      <c r="S70" s="8">
        <v>2260.94</v>
      </c>
      <c r="T70" s="9">
        <f t="shared" si="7"/>
        <v>24842.129999999997</v>
      </c>
    </row>
    <row r="71" spans="1:26" s="6" customFormat="1" x14ac:dyDescent="0.25">
      <c r="A71" s="11" t="s">
        <v>74</v>
      </c>
      <c r="B71" s="17">
        <v>43698</v>
      </c>
      <c r="C71" s="5">
        <v>58</v>
      </c>
      <c r="D71" s="7">
        <v>3439.8</v>
      </c>
      <c r="E71" s="7">
        <v>3234.52</v>
      </c>
      <c r="F71" s="7">
        <v>15084.39</v>
      </c>
      <c r="G71" s="7">
        <v>2117.0100000000002</v>
      </c>
      <c r="H71" s="7">
        <v>1127.8</v>
      </c>
      <c r="I71" s="7">
        <v>1304.97</v>
      </c>
      <c r="J71" s="7"/>
      <c r="K71" s="7">
        <v>1820.51</v>
      </c>
      <c r="L71" s="7">
        <v>5.79</v>
      </c>
      <c r="M71" s="7">
        <v>0</v>
      </c>
      <c r="N71" s="7">
        <v>2763.11</v>
      </c>
      <c r="O71" s="7">
        <v>3874.04</v>
      </c>
      <c r="P71" s="7"/>
      <c r="Q71" s="7"/>
      <c r="R71" s="7">
        <v>6200.78</v>
      </c>
      <c r="S71" s="8">
        <v>3632.41</v>
      </c>
      <c r="T71" s="9">
        <f t="shared" si="7"/>
        <v>44605.130000000005</v>
      </c>
    </row>
    <row r="72" spans="1:26" s="6" customFormat="1" x14ac:dyDescent="0.25">
      <c r="A72" s="11" t="s">
        <v>75</v>
      </c>
      <c r="B72" s="17">
        <v>43700</v>
      </c>
      <c r="C72" s="5">
        <v>16</v>
      </c>
      <c r="D72" s="19">
        <v>1555.14</v>
      </c>
      <c r="E72" s="19">
        <v>1516.91</v>
      </c>
      <c r="F72" s="19">
        <v>5838.12</v>
      </c>
      <c r="G72" s="19">
        <v>0</v>
      </c>
      <c r="H72" s="19">
        <v>382.41</v>
      </c>
      <c r="I72" s="19">
        <v>650.1</v>
      </c>
      <c r="J72" s="19">
        <v>0</v>
      </c>
      <c r="K72" s="19">
        <v>1200.5999999999999</v>
      </c>
      <c r="L72" s="19">
        <v>0.12</v>
      </c>
      <c r="M72" s="19">
        <v>198.84</v>
      </c>
      <c r="N72" s="19">
        <v>0</v>
      </c>
      <c r="O72" s="19">
        <v>1718.94</v>
      </c>
      <c r="P72" s="19">
        <v>128</v>
      </c>
      <c r="Q72" s="19">
        <v>1844.01</v>
      </c>
      <c r="R72" s="19">
        <v>2669.24</v>
      </c>
      <c r="S72" s="8">
        <v>1558.63</v>
      </c>
      <c r="T72" s="9">
        <f t="shared" si="7"/>
        <v>19261.060000000001</v>
      </c>
    </row>
    <row r="73" spans="1:26" s="6" customFormat="1" x14ac:dyDescent="0.25">
      <c r="A73" s="11" t="s">
        <v>76</v>
      </c>
      <c r="B73" s="17">
        <v>43670</v>
      </c>
      <c r="C73" s="5">
        <v>36</v>
      </c>
      <c r="D73" s="7">
        <v>2321.7199999999998</v>
      </c>
      <c r="E73" s="7">
        <v>2473.96</v>
      </c>
      <c r="F73" s="7">
        <v>9960.4</v>
      </c>
      <c r="G73" s="7">
        <v>1731.77</v>
      </c>
      <c r="H73" s="7">
        <v>428.18</v>
      </c>
      <c r="I73" s="7">
        <v>947.54</v>
      </c>
      <c r="J73" s="7"/>
      <c r="K73" s="7"/>
      <c r="L73" s="7">
        <v>156.88</v>
      </c>
      <c r="M73" s="7">
        <v>285.45999999999998</v>
      </c>
      <c r="N73" s="7"/>
      <c r="O73" s="7">
        <v>2650.31</v>
      </c>
      <c r="P73" s="7">
        <v>324</v>
      </c>
      <c r="Q73" s="7">
        <v>2742.05</v>
      </c>
      <c r="R73" s="7">
        <v>4281.58</v>
      </c>
      <c r="S73" s="8">
        <v>2644.77</v>
      </c>
      <c r="T73" s="9">
        <f t="shared" ref="T73:T78" si="8">SUM(D73:S73)</f>
        <v>30948.62</v>
      </c>
    </row>
    <row r="74" spans="1:26" s="6" customFormat="1" x14ac:dyDescent="0.25">
      <c r="A74" s="11" t="s">
        <v>77</v>
      </c>
      <c r="B74" s="17">
        <v>43703</v>
      </c>
      <c r="C74" s="5">
        <v>9</v>
      </c>
      <c r="D74" s="19">
        <v>549.78</v>
      </c>
      <c r="E74" s="19">
        <v>473.18</v>
      </c>
      <c r="F74" s="19">
        <v>2023.38</v>
      </c>
      <c r="G74" s="19">
        <v>211.81</v>
      </c>
      <c r="H74" s="19">
        <v>135.19</v>
      </c>
      <c r="I74" s="19">
        <v>171.24</v>
      </c>
      <c r="J74" s="19"/>
      <c r="K74" s="19">
        <v>139.28</v>
      </c>
      <c r="L74" s="19"/>
      <c r="M74" s="19"/>
      <c r="N74" s="19">
        <v>356.02</v>
      </c>
      <c r="O74" s="19">
        <v>622.51</v>
      </c>
      <c r="P74" s="19">
        <v>54</v>
      </c>
      <c r="Q74" s="19">
        <v>657.4</v>
      </c>
      <c r="R74" s="19">
        <v>939.55</v>
      </c>
      <c r="S74" s="8">
        <v>559.79</v>
      </c>
      <c r="T74" s="9">
        <f t="shared" si="8"/>
        <v>6893.13</v>
      </c>
    </row>
    <row r="75" spans="1:26" s="6" customFormat="1" x14ac:dyDescent="0.25">
      <c r="A75" s="11" t="s">
        <v>78</v>
      </c>
      <c r="B75" s="17">
        <v>43693</v>
      </c>
      <c r="C75" s="5">
        <v>164</v>
      </c>
      <c r="D75" s="19">
        <v>27263.74</v>
      </c>
      <c r="E75" s="19">
        <v>25389.39</v>
      </c>
      <c r="F75" s="19">
        <v>84777.59</v>
      </c>
      <c r="G75" s="19">
        <v>13631.8</v>
      </c>
      <c r="H75" s="19">
        <v>5363.36</v>
      </c>
      <c r="I75" s="19">
        <v>7694.16</v>
      </c>
      <c r="J75" s="19">
        <v>2681.74</v>
      </c>
      <c r="K75" s="19">
        <v>6795.39</v>
      </c>
      <c r="L75" s="19"/>
      <c r="M75" s="19">
        <v>0</v>
      </c>
      <c r="N75" s="19">
        <v>0</v>
      </c>
      <c r="O75" s="19">
        <v>21291.02</v>
      </c>
      <c r="P75" s="19"/>
      <c r="Q75" s="19"/>
      <c r="R75" s="19">
        <v>34260.230000000003</v>
      </c>
      <c r="S75" s="8">
        <v>19426.13</v>
      </c>
      <c r="T75" s="9">
        <f t="shared" si="8"/>
        <v>248574.55</v>
      </c>
    </row>
    <row r="76" spans="1:26" s="6" customFormat="1" x14ac:dyDescent="0.25">
      <c r="A76" s="11" t="s">
        <v>79</v>
      </c>
      <c r="B76" s="17">
        <v>43707</v>
      </c>
      <c r="C76" s="5">
        <v>18</v>
      </c>
      <c r="D76" s="7">
        <v>1432.77</v>
      </c>
      <c r="E76" s="7">
        <v>1092.19</v>
      </c>
      <c r="F76" s="7">
        <v>4803.3</v>
      </c>
      <c r="G76" s="7">
        <v>880.8</v>
      </c>
      <c r="H76" s="7">
        <v>469.76</v>
      </c>
      <c r="I76" s="7">
        <v>440.39</v>
      </c>
      <c r="J76" s="7"/>
      <c r="K76" s="7">
        <v>1174.4000000000001</v>
      </c>
      <c r="L76" s="7">
        <v>0</v>
      </c>
      <c r="M76" s="7">
        <v>199.65</v>
      </c>
      <c r="N76" s="7"/>
      <c r="O76" s="7">
        <v>1536.77</v>
      </c>
      <c r="P76" s="7">
        <v>180</v>
      </c>
      <c r="Q76" s="7">
        <v>1703.31</v>
      </c>
      <c r="R76" s="7">
        <v>2475.31</v>
      </c>
      <c r="S76" s="8">
        <v>1489.69</v>
      </c>
      <c r="T76" s="9">
        <f t="shared" si="8"/>
        <v>17878.339999999997</v>
      </c>
    </row>
    <row r="77" spans="1:26" s="6" customFormat="1" x14ac:dyDescent="0.25">
      <c r="A77" s="11" t="s">
        <v>80</v>
      </c>
      <c r="B77" s="17">
        <v>43696</v>
      </c>
      <c r="C77" s="5">
        <v>1</v>
      </c>
      <c r="D77" s="19">
        <v>9.15</v>
      </c>
      <c r="E77" s="19">
        <v>11.7</v>
      </c>
      <c r="F77" s="19">
        <v>42.52</v>
      </c>
      <c r="G77" s="19">
        <v>2.85</v>
      </c>
      <c r="H77" s="19">
        <v>3.9</v>
      </c>
      <c r="I77" s="19">
        <v>2.5</v>
      </c>
      <c r="J77" s="19">
        <v>0</v>
      </c>
      <c r="K77" s="19">
        <v>40</v>
      </c>
      <c r="L77" s="19"/>
      <c r="M77" s="19">
        <v>0.98</v>
      </c>
      <c r="N77" s="19"/>
      <c r="O77" s="19">
        <v>16.47</v>
      </c>
      <c r="P77" s="19">
        <v>28</v>
      </c>
      <c r="Q77" s="19">
        <v>18.43</v>
      </c>
      <c r="R77" s="19">
        <v>28.41</v>
      </c>
      <c r="S77" s="8">
        <v>46.2</v>
      </c>
      <c r="T77" s="9">
        <f t="shared" si="8"/>
        <v>251.11</v>
      </c>
    </row>
    <row r="78" spans="1:26" s="6" customFormat="1" x14ac:dyDescent="0.25">
      <c r="A78" s="11" t="s">
        <v>81</v>
      </c>
      <c r="B78" s="17">
        <v>43699</v>
      </c>
      <c r="C78" s="5">
        <v>111</v>
      </c>
      <c r="D78" s="7">
        <v>15758.55</v>
      </c>
      <c r="E78" s="7">
        <v>10593.11</v>
      </c>
      <c r="F78" s="7">
        <v>83813.02</v>
      </c>
      <c r="G78" s="7">
        <v>7619.61</v>
      </c>
      <c r="H78" s="7">
        <v>6458.38</v>
      </c>
      <c r="I78" s="7">
        <v>2232.13</v>
      </c>
      <c r="J78" s="7">
        <v>0</v>
      </c>
      <c r="K78" s="7">
        <v>0</v>
      </c>
      <c r="L78" s="7">
        <v>127.75</v>
      </c>
      <c r="M78" s="7">
        <v>0</v>
      </c>
      <c r="N78" s="7">
        <v>6458.38</v>
      </c>
      <c r="O78" s="7">
        <v>18417.91</v>
      </c>
      <c r="P78" s="7">
        <v>1103.5999999999999</v>
      </c>
      <c r="Q78" s="7">
        <v>21995.79</v>
      </c>
      <c r="R78" s="7">
        <v>31915.37</v>
      </c>
      <c r="S78" s="8">
        <v>17528.169999999998</v>
      </c>
      <c r="T78" s="9">
        <f t="shared" si="8"/>
        <v>224021.77000000002</v>
      </c>
    </row>
    <row r="79" spans="1:26" s="6" customFormat="1" x14ac:dyDescent="0.25">
      <c r="A79" s="11" t="s">
        <v>82</v>
      </c>
      <c r="B79" s="17">
        <v>43704</v>
      </c>
      <c r="C79" s="5">
        <v>86</v>
      </c>
      <c r="D79" s="19">
        <v>1422.92</v>
      </c>
      <c r="E79" s="19">
        <v>5657</v>
      </c>
      <c r="F79" s="19">
        <v>7091.55</v>
      </c>
      <c r="G79" s="19">
        <v>1586.22</v>
      </c>
      <c r="H79" s="19">
        <v>1166.3800000000001</v>
      </c>
      <c r="I79" s="19">
        <v>1480.17</v>
      </c>
      <c r="J79" s="19">
        <v>0</v>
      </c>
      <c r="K79" s="19">
        <v>36.770000000000003</v>
      </c>
      <c r="L79" s="19"/>
      <c r="M79" s="19">
        <v>198.3</v>
      </c>
      <c r="N79" s="19"/>
      <c r="O79" s="19">
        <v>2495.9699999999998</v>
      </c>
      <c r="P79" s="19">
        <v>0</v>
      </c>
      <c r="Q79" s="19"/>
      <c r="R79" s="19">
        <v>3867.9</v>
      </c>
      <c r="S79" s="8">
        <v>2563.9499999999998</v>
      </c>
      <c r="T79" s="9">
        <f>SUM(D79:S79)</f>
        <v>27567.13</v>
      </c>
    </row>
    <row r="80" spans="1:26" s="6" customFormat="1" x14ac:dyDescent="0.25">
      <c r="A80" s="11" t="s">
        <v>83</v>
      </c>
      <c r="B80" s="17">
        <v>43754</v>
      </c>
      <c r="C80" s="5">
        <v>34</v>
      </c>
      <c r="D80" s="19">
        <v>1918.38</v>
      </c>
      <c r="E80" s="19">
        <v>1840.32</v>
      </c>
      <c r="F80" s="19">
        <v>9434.59</v>
      </c>
      <c r="G80" s="19">
        <v>864.84</v>
      </c>
      <c r="H80" s="19">
        <v>471.73</v>
      </c>
      <c r="I80" s="19">
        <v>502.58</v>
      </c>
      <c r="J80" s="19">
        <v>0</v>
      </c>
      <c r="K80" s="19">
        <v>12.04</v>
      </c>
      <c r="L80" s="19"/>
      <c r="M80" s="19">
        <v>172.96</v>
      </c>
      <c r="N80" s="19"/>
      <c r="O80" s="19">
        <v>1900.31</v>
      </c>
      <c r="P80" s="19"/>
      <c r="Q80" s="19"/>
      <c r="R80" s="19">
        <v>3013.87</v>
      </c>
      <c r="S80" s="8">
        <v>1982.96</v>
      </c>
      <c r="T80" s="9">
        <f>SUM(D80:S80)</f>
        <v>22114.579999999998</v>
      </c>
    </row>
    <row r="81" spans="1:20" s="6" customFormat="1" x14ac:dyDescent="0.25">
      <c r="A81" s="11" t="s">
        <v>84</v>
      </c>
      <c r="B81" s="17">
        <v>43670</v>
      </c>
      <c r="C81" s="5">
        <v>66</v>
      </c>
      <c r="D81" s="19">
        <v>7986.62</v>
      </c>
      <c r="E81" s="19">
        <v>6284.55</v>
      </c>
      <c r="F81" s="19">
        <v>31030.01</v>
      </c>
      <c r="G81" s="19">
        <v>6153.65</v>
      </c>
      <c r="H81" s="19">
        <v>4746.24</v>
      </c>
      <c r="I81" s="19">
        <v>1171.17</v>
      </c>
      <c r="J81" s="19">
        <v>2487.62</v>
      </c>
      <c r="K81" s="19">
        <v>4477.01</v>
      </c>
      <c r="L81" s="19">
        <v>132</v>
      </c>
      <c r="M81" s="19">
        <v>327.35000000000002</v>
      </c>
      <c r="N81" s="19">
        <v>128.96</v>
      </c>
      <c r="O81" s="19">
        <v>9128.77</v>
      </c>
      <c r="P81" s="19">
        <v>0</v>
      </c>
      <c r="Q81" s="19">
        <v>4979.45</v>
      </c>
      <c r="R81" s="19">
        <v>13954.52</v>
      </c>
      <c r="S81" s="8">
        <v>7637.26</v>
      </c>
      <c r="T81" s="9">
        <f>SUM(D81:S81)</f>
        <v>100625.18</v>
      </c>
    </row>
    <row r="82" spans="1:20" s="6" customFormat="1" x14ac:dyDescent="0.25">
      <c r="A82" s="11" t="s">
        <v>85</v>
      </c>
      <c r="B82" s="17">
        <v>43727</v>
      </c>
      <c r="C82" s="5">
        <v>0</v>
      </c>
      <c r="D82" s="19">
        <v>0</v>
      </c>
      <c r="E82" s="19">
        <v>0</v>
      </c>
      <c r="F82" s="19">
        <v>0</v>
      </c>
      <c r="G82" s="19">
        <v>0</v>
      </c>
      <c r="H82" s="19">
        <v>0</v>
      </c>
      <c r="I82" s="19">
        <v>0</v>
      </c>
      <c r="J82" s="19">
        <v>0</v>
      </c>
      <c r="K82" s="19">
        <v>0</v>
      </c>
      <c r="L82" s="19">
        <v>0</v>
      </c>
      <c r="M82" s="19">
        <v>0</v>
      </c>
      <c r="N82" s="19">
        <v>0</v>
      </c>
      <c r="O82" s="19">
        <v>0</v>
      </c>
      <c r="P82" s="19">
        <v>0</v>
      </c>
      <c r="Q82" s="19">
        <v>0</v>
      </c>
      <c r="R82" s="19">
        <v>0</v>
      </c>
      <c r="S82" s="8">
        <v>0</v>
      </c>
      <c r="T82" s="5">
        <v>0</v>
      </c>
    </row>
    <row r="83" spans="1:20" s="6" customFormat="1" x14ac:dyDescent="0.25">
      <c r="A83" s="11" t="s">
        <v>86</v>
      </c>
      <c r="B83" s="17">
        <v>43665</v>
      </c>
      <c r="C83" s="5">
        <v>31</v>
      </c>
      <c r="D83" s="7">
        <v>0</v>
      </c>
      <c r="E83" s="7">
        <v>0</v>
      </c>
      <c r="F83" s="7">
        <v>0</v>
      </c>
      <c r="G83" s="7">
        <v>0</v>
      </c>
      <c r="H83" s="7">
        <v>0</v>
      </c>
      <c r="I83" s="7">
        <v>0</v>
      </c>
      <c r="J83" s="7">
        <v>0</v>
      </c>
      <c r="K83" s="7">
        <v>0</v>
      </c>
      <c r="L83" s="7">
        <v>0</v>
      </c>
      <c r="M83" s="7">
        <v>0</v>
      </c>
      <c r="N83" s="7">
        <v>0</v>
      </c>
      <c r="O83" s="7">
        <v>2464.02</v>
      </c>
      <c r="P83" s="7">
        <v>651</v>
      </c>
      <c r="Q83" s="7">
        <v>18876.96</v>
      </c>
      <c r="R83" s="7">
        <v>3775.39</v>
      </c>
      <c r="S83" s="8">
        <v>2352.7199999999998</v>
      </c>
      <c r="T83" s="9">
        <f t="shared" ref="T83:T89" si="9">SUM(D83:S83)</f>
        <v>28120.09</v>
      </c>
    </row>
    <row r="84" spans="1:20" s="6" customFormat="1" x14ac:dyDescent="0.25">
      <c r="A84" s="11" t="s">
        <v>87</v>
      </c>
      <c r="B84" s="17">
        <v>43686</v>
      </c>
      <c r="C84" s="5">
        <v>60</v>
      </c>
      <c r="D84" s="19"/>
      <c r="E84" s="19"/>
      <c r="F84" s="19"/>
      <c r="G84" s="19"/>
      <c r="H84" s="19"/>
      <c r="I84" s="19"/>
      <c r="J84" s="19"/>
      <c r="K84" s="19"/>
      <c r="L84" s="19"/>
      <c r="M84" s="19"/>
      <c r="N84" s="19"/>
      <c r="O84" s="19">
        <v>8820.4699999999993</v>
      </c>
      <c r="P84" s="19">
        <v>540</v>
      </c>
      <c r="Q84" s="19">
        <v>67272.28</v>
      </c>
      <c r="R84" s="19">
        <v>13574.43</v>
      </c>
      <c r="S84" s="8">
        <v>7627.21</v>
      </c>
      <c r="T84" s="9">
        <f t="shared" si="9"/>
        <v>97834.39</v>
      </c>
    </row>
    <row r="85" spans="1:20" s="6" customFormat="1" x14ac:dyDescent="0.25">
      <c r="A85" s="11" t="s">
        <v>88</v>
      </c>
      <c r="B85" s="17">
        <v>43705</v>
      </c>
      <c r="C85" s="5">
        <v>3</v>
      </c>
      <c r="D85" s="19">
        <v>46.36</v>
      </c>
      <c r="E85" s="19">
        <v>43.32</v>
      </c>
      <c r="F85" s="19">
        <v>203.68</v>
      </c>
      <c r="G85" s="19">
        <v>36.479999999999997</v>
      </c>
      <c r="H85" s="19">
        <v>30.4</v>
      </c>
      <c r="I85" s="19">
        <v>25.28</v>
      </c>
      <c r="J85" s="19">
        <v>0</v>
      </c>
      <c r="K85" s="19">
        <v>33.049999999999997</v>
      </c>
      <c r="L85" s="19">
        <v>15.58</v>
      </c>
      <c r="M85" s="19">
        <v>22.8</v>
      </c>
      <c r="N85" s="19">
        <v>18.25</v>
      </c>
      <c r="O85" s="19">
        <v>72.66</v>
      </c>
      <c r="P85" s="19">
        <v>0</v>
      </c>
      <c r="Q85" s="19">
        <v>77.28</v>
      </c>
      <c r="R85" s="19">
        <v>122.5</v>
      </c>
      <c r="S85" s="8">
        <v>106.24</v>
      </c>
      <c r="T85" s="9">
        <f t="shared" si="9"/>
        <v>853.88</v>
      </c>
    </row>
    <row r="86" spans="1:20" s="6" customFormat="1" x14ac:dyDescent="0.25">
      <c r="A86" s="11" t="s">
        <v>89</v>
      </c>
      <c r="B86" s="17">
        <v>43663</v>
      </c>
      <c r="C86" s="5">
        <v>64</v>
      </c>
      <c r="D86" s="7">
        <v>7485.48</v>
      </c>
      <c r="E86" s="7">
        <v>7485.48</v>
      </c>
      <c r="F86" s="7">
        <v>36113.699999999997</v>
      </c>
      <c r="G86" s="7">
        <v>4969.87</v>
      </c>
      <c r="H86" s="7">
        <v>3067.81</v>
      </c>
      <c r="I86" s="7">
        <v>2515.6</v>
      </c>
      <c r="J86" s="7">
        <v>0</v>
      </c>
      <c r="K86" s="7">
        <v>2402.79</v>
      </c>
      <c r="L86" s="7">
        <v>0</v>
      </c>
      <c r="M86" s="7">
        <v>429.52</v>
      </c>
      <c r="N86" s="7">
        <v>0</v>
      </c>
      <c r="O86" s="7">
        <v>9229.07</v>
      </c>
      <c r="P86" s="7">
        <v>768</v>
      </c>
      <c r="Q86" s="7">
        <v>9652.8799999999992</v>
      </c>
      <c r="R86" s="7">
        <v>14952.62</v>
      </c>
      <c r="S86" s="8">
        <v>8372.2900000000009</v>
      </c>
      <c r="T86" s="9">
        <f t="shared" si="9"/>
        <v>107445.10999999999</v>
      </c>
    </row>
    <row r="87" spans="1:20" s="6" customFormat="1" x14ac:dyDescent="0.25">
      <c r="A87" s="11" t="s">
        <v>90</v>
      </c>
      <c r="B87" s="17">
        <v>43732</v>
      </c>
      <c r="C87" s="5">
        <v>68</v>
      </c>
      <c r="D87" s="19">
        <v>2728.05</v>
      </c>
      <c r="E87" s="19">
        <v>1977.19</v>
      </c>
      <c r="F87" s="19">
        <v>11632.19</v>
      </c>
      <c r="G87" s="19">
        <v>2638.64</v>
      </c>
      <c r="H87" s="19">
        <v>0</v>
      </c>
      <c r="I87" s="19">
        <v>2360.5100000000002</v>
      </c>
      <c r="J87" s="19">
        <v>0</v>
      </c>
      <c r="K87" s="19">
        <v>1890</v>
      </c>
      <c r="L87" s="19">
        <v>4.5199999999999996</v>
      </c>
      <c r="M87" s="19">
        <v>321.89</v>
      </c>
      <c r="N87" s="19">
        <v>1323.64</v>
      </c>
      <c r="O87" s="19">
        <v>3858.77</v>
      </c>
      <c r="P87" s="19">
        <v>1700</v>
      </c>
      <c r="Q87" s="19">
        <v>4361.1000000000004</v>
      </c>
      <c r="R87" s="19">
        <v>5847.69</v>
      </c>
      <c r="S87" s="8">
        <v>3943.82</v>
      </c>
      <c r="T87" s="9">
        <f t="shared" si="9"/>
        <v>44588.01</v>
      </c>
    </row>
    <row r="88" spans="1:20" s="6" customFormat="1" x14ac:dyDescent="0.25">
      <c r="A88" s="11" t="s">
        <v>91</v>
      </c>
      <c r="B88" s="17">
        <v>43720</v>
      </c>
      <c r="C88" s="5">
        <v>45</v>
      </c>
      <c r="D88" s="19">
        <v>2042.5</v>
      </c>
      <c r="E88" s="19">
        <v>1456.54</v>
      </c>
      <c r="F88" s="19">
        <v>9392.1</v>
      </c>
      <c r="G88" s="19">
        <v>971.01</v>
      </c>
      <c r="H88" s="19">
        <v>669.67</v>
      </c>
      <c r="I88" s="19">
        <v>1012.88</v>
      </c>
      <c r="J88" s="19">
        <v>0</v>
      </c>
      <c r="K88" s="19">
        <v>0</v>
      </c>
      <c r="L88" s="19">
        <v>9</v>
      </c>
      <c r="M88" s="19">
        <v>301.33999999999997</v>
      </c>
      <c r="N88" s="19">
        <v>1185.29</v>
      </c>
      <c r="O88" s="19">
        <v>2590.38</v>
      </c>
      <c r="P88" s="19">
        <v>450</v>
      </c>
      <c r="Q88" s="19">
        <v>2984.09</v>
      </c>
      <c r="R88" s="19">
        <v>4094.87</v>
      </c>
      <c r="S88" s="8">
        <v>2677.44</v>
      </c>
      <c r="T88" s="9">
        <f t="shared" si="9"/>
        <v>29837.109999999997</v>
      </c>
    </row>
    <row r="89" spans="1:20" s="6" customFormat="1" x14ac:dyDescent="0.25">
      <c r="A89" s="11" t="s">
        <v>92</v>
      </c>
      <c r="B89" s="17">
        <v>43691</v>
      </c>
      <c r="C89" s="5">
        <v>57</v>
      </c>
      <c r="D89" s="19">
        <v>6615.71</v>
      </c>
      <c r="E89" s="19">
        <v>4012.84</v>
      </c>
      <c r="F89" s="19">
        <v>28631.84</v>
      </c>
      <c r="G89" s="19">
        <v>4338.16</v>
      </c>
      <c r="H89" s="19">
        <v>3253.62</v>
      </c>
      <c r="I89" s="19">
        <v>2819.82</v>
      </c>
      <c r="J89" s="19">
        <v>0</v>
      </c>
      <c r="K89" s="19">
        <v>3370.3</v>
      </c>
      <c r="L89" s="19">
        <v>0</v>
      </c>
      <c r="M89" s="19">
        <v>0</v>
      </c>
      <c r="N89" s="19">
        <v>4392.33</v>
      </c>
      <c r="O89" s="19">
        <v>8476.65</v>
      </c>
      <c r="P89" s="19">
        <v>285</v>
      </c>
      <c r="Q89" s="19">
        <v>9326.19</v>
      </c>
      <c r="R89" s="19">
        <v>13466.17</v>
      </c>
      <c r="S89" s="8">
        <v>7531.09</v>
      </c>
      <c r="T89" s="9">
        <f t="shared" si="9"/>
        <v>96519.72</v>
      </c>
    </row>
    <row r="90" spans="1:20" s="6" customFormat="1" x14ac:dyDescent="0.25">
      <c r="A90" s="11" t="s">
        <v>93</v>
      </c>
      <c r="B90" s="17">
        <v>43684</v>
      </c>
      <c r="C90" s="5">
        <v>46</v>
      </c>
      <c r="D90" s="7">
        <v>2643.9</v>
      </c>
      <c r="E90" s="7">
        <v>1300.27</v>
      </c>
      <c r="F90" s="7">
        <v>13479.54</v>
      </c>
      <c r="G90" s="7">
        <v>2600.54</v>
      </c>
      <c r="H90" s="7">
        <v>2167.13</v>
      </c>
      <c r="I90" s="7">
        <v>2545.9499999999998</v>
      </c>
      <c r="J90" s="7">
        <v>0</v>
      </c>
      <c r="K90" s="7">
        <v>40.46</v>
      </c>
      <c r="L90" s="7">
        <v>46</v>
      </c>
      <c r="M90" s="7">
        <v>411.79</v>
      </c>
      <c r="N90" s="7">
        <v>2123.7800000000002</v>
      </c>
      <c r="O90" s="7">
        <v>3667.21</v>
      </c>
      <c r="P90" s="7"/>
      <c r="Q90" s="7"/>
      <c r="R90" s="7">
        <v>5462.66</v>
      </c>
      <c r="S90" s="8">
        <v>3191.36</v>
      </c>
      <c r="T90" s="9">
        <f t="shared" ref="T90:T96" si="10">SUM(D90:S90)</f>
        <v>39680.589999999997</v>
      </c>
    </row>
    <row r="91" spans="1:20" s="6" customFormat="1" x14ac:dyDescent="0.25">
      <c r="A91" s="11" t="s">
        <v>94</v>
      </c>
      <c r="B91" s="17">
        <v>43697</v>
      </c>
      <c r="C91" s="5">
        <v>53</v>
      </c>
      <c r="D91" s="19">
        <v>4257.45</v>
      </c>
      <c r="E91" s="19">
        <v>4082.99</v>
      </c>
      <c r="F91" s="19">
        <v>19577.22</v>
      </c>
      <c r="G91" s="19">
        <v>3594.35</v>
      </c>
      <c r="H91" s="19">
        <v>1186.51</v>
      </c>
      <c r="I91" s="19">
        <v>702.47</v>
      </c>
      <c r="J91" s="19"/>
      <c r="K91" s="19"/>
      <c r="L91" s="19">
        <v>679.46</v>
      </c>
      <c r="M91" s="19">
        <v>181.41</v>
      </c>
      <c r="N91" s="19"/>
      <c r="O91" s="19">
        <v>4689.6000000000004</v>
      </c>
      <c r="P91" s="19">
        <v>159</v>
      </c>
      <c r="Q91" s="19">
        <v>5289.86</v>
      </c>
      <c r="R91" s="19">
        <v>7399.89</v>
      </c>
      <c r="S91" s="8">
        <v>4750.1899999999996</v>
      </c>
      <c r="T91" s="9">
        <f t="shared" si="10"/>
        <v>56550.400000000001</v>
      </c>
    </row>
    <row r="92" spans="1:20" s="6" customFormat="1" x14ac:dyDescent="0.25">
      <c r="A92" s="11" t="s">
        <v>95</v>
      </c>
      <c r="B92" s="17">
        <v>43671</v>
      </c>
      <c r="C92" s="5">
        <v>56</v>
      </c>
      <c r="D92" s="19">
        <v>6835.06</v>
      </c>
      <c r="E92" s="19">
        <v>8011.64</v>
      </c>
      <c r="F92" s="19">
        <v>31190.67</v>
      </c>
      <c r="G92" s="19">
        <v>4314</v>
      </c>
      <c r="H92" s="19">
        <v>0</v>
      </c>
      <c r="I92" s="19">
        <v>588.32000000000005</v>
      </c>
      <c r="J92" s="19">
        <v>0</v>
      </c>
      <c r="K92" s="19">
        <v>4083.47</v>
      </c>
      <c r="L92" s="19"/>
      <c r="M92" s="19">
        <v>291.32</v>
      </c>
      <c r="N92" s="19">
        <v>0</v>
      </c>
      <c r="O92" s="19">
        <v>6828.7</v>
      </c>
      <c r="P92" s="19">
        <v>896</v>
      </c>
      <c r="Q92" s="19"/>
      <c r="R92" s="19">
        <v>11116.95</v>
      </c>
      <c r="S92" s="8">
        <v>7936.74</v>
      </c>
      <c r="T92" s="9">
        <f t="shared" si="10"/>
        <v>82092.87</v>
      </c>
    </row>
    <row r="93" spans="1:20" s="6" customFormat="1" x14ac:dyDescent="0.25">
      <c r="A93" s="11" t="s">
        <v>96</v>
      </c>
      <c r="B93" s="17">
        <v>43669</v>
      </c>
      <c r="C93" s="5">
        <v>12</v>
      </c>
      <c r="D93" s="19">
        <v>1063.3</v>
      </c>
      <c r="E93" s="19">
        <v>1255.03</v>
      </c>
      <c r="F93" s="19">
        <v>3451.34</v>
      </c>
      <c r="G93" s="19">
        <v>705.95</v>
      </c>
      <c r="H93" s="19">
        <v>435.78</v>
      </c>
      <c r="I93" s="19">
        <v>326.04000000000002</v>
      </c>
      <c r="J93" s="19">
        <v>0</v>
      </c>
      <c r="K93" s="19">
        <v>473.99</v>
      </c>
      <c r="L93" s="19">
        <v>0</v>
      </c>
      <c r="M93" s="19">
        <v>130.74</v>
      </c>
      <c r="N93" s="19">
        <v>0</v>
      </c>
      <c r="O93" s="19">
        <v>1202.8399999999999</v>
      </c>
      <c r="P93" s="19">
        <v>84</v>
      </c>
      <c r="Q93" s="19">
        <v>1177.3599999999999</v>
      </c>
      <c r="R93" s="19">
        <v>1803.91</v>
      </c>
      <c r="S93" s="8">
        <v>1081.96</v>
      </c>
      <c r="T93" s="9">
        <f t="shared" si="10"/>
        <v>13192.239999999998</v>
      </c>
    </row>
    <row r="94" spans="1:20" s="6" customFormat="1" x14ac:dyDescent="0.25">
      <c r="A94" s="11" t="s">
        <v>97</v>
      </c>
      <c r="B94" s="17">
        <v>43762</v>
      </c>
      <c r="C94" s="5">
        <v>55</v>
      </c>
      <c r="D94" s="7">
        <v>2752.08</v>
      </c>
      <c r="E94" s="7">
        <v>1646.76</v>
      </c>
      <c r="F94" s="7">
        <v>11843.08</v>
      </c>
      <c r="G94" s="7">
        <v>1872.32</v>
      </c>
      <c r="H94" s="7">
        <v>902.33</v>
      </c>
      <c r="I94" s="7">
        <v>757.94</v>
      </c>
      <c r="J94" s="7"/>
      <c r="K94" s="7"/>
      <c r="L94" s="7">
        <v>45.88</v>
      </c>
      <c r="M94" s="7">
        <v>180.47</v>
      </c>
      <c r="N94" s="7"/>
      <c r="O94" s="7">
        <v>2874.55</v>
      </c>
      <c r="P94" s="7">
        <v>275</v>
      </c>
      <c r="Q94" s="7">
        <v>3741.33</v>
      </c>
      <c r="R94" s="7">
        <v>4858.3999999999996</v>
      </c>
      <c r="S94" s="8">
        <v>3199.17</v>
      </c>
      <c r="T94" s="9">
        <f t="shared" si="10"/>
        <v>34949.310000000005</v>
      </c>
    </row>
    <row r="95" spans="1:20" s="6" customFormat="1" x14ac:dyDescent="0.25">
      <c r="A95" s="11" t="s">
        <v>98</v>
      </c>
      <c r="B95" s="17">
        <v>43671</v>
      </c>
      <c r="C95" s="5">
        <v>44</v>
      </c>
      <c r="D95" s="7">
        <v>13918.42</v>
      </c>
      <c r="E95" s="7">
        <v>9919.86</v>
      </c>
      <c r="F95" s="7">
        <v>63915.96</v>
      </c>
      <c r="G95" s="7">
        <v>4667.6000000000004</v>
      </c>
      <c r="H95" s="7">
        <v>2840.41</v>
      </c>
      <c r="I95" s="7">
        <v>1655.03</v>
      </c>
      <c r="J95" s="7"/>
      <c r="K95" s="7">
        <v>10871.5</v>
      </c>
      <c r="L95" s="7">
        <v>25450.19</v>
      </c>
      <c r="M95" s="7">
        <v>1125.28</v>
      </c>
      <c r="N95" s="7">
        <v>5385.45</v>
      </c>
      <c r="O95" s="7">
        <v>18798.95</v>
      </c>
      <c r="P95" s="7">
        <v>1099</v>
      </c>
      <c r="Q95" s="7">
        <v>24052.93</v>
      </c>
      <c r="R95" s="7">
        <v>32938.53</v>
      </c>
      <c r="S95" s="8">
        <v>17715.259999999998</v>
      </c>
      <c r="T95" s="9">
        <f t="shared" si="10"/>
        <v>234354.37000000002</v>
      </c>
    </row>
    <row r="96" spans="1:20" s="6" customFormat="1" x14ac:dyDescent="0.25">
      <c r="A96" s="11" t="s">
        <v>99</v>
      </c>
      <c r="B96" s="17">
        <v>43670</v>
      </c>
      <c r="C96" s="5">
        <v>21</v>
      </c>
      <c r="D96" s="19">
        <v>1994.84</v>
      </c>
      <c r="E96" s="19">
        <v>1994.84</v>
      </c>
      <c r="F96" s="19">
        <v>10775.34</v>
      </c>
      <c r="G96" s="19">
        <v>1782.28</v>
      </c>
      <c r="H96" s="19">
        <v>915.64</v>
      </c>
      <c r="I96" s="19">
        <v>873.15</v>
      </c>
      <c r="J96" s="19">
        <v>0</v>
      </c>
      <c r="K96" s="19">
        <v>729.79</v>
      </c>
      <c r="L96" s="19">
        <v>300</v>
      </c>
      <c r="M96" s="19">
        <v>261.60000000000002</v>
      </c>
      <c r="N96" s="19">
        <v>0</v>
      </c>
      <c r="O96" s="19">
        <v>2538.9699999999998</v>
      </c>
      <c r="P96" s="19">
        <v>0</v>
      </c>
      <c r="Q96" s="19"/>
      <c r="R96" s="19">
        <v>3896.18</v>
      </c>
      <c r="S96" s="8">
        <v>2228.77</v>
      </c>
      <c r="T96" s="9">
        <f t="shared" si="10"/>
        <v>28291.4</v>
      </c>
    </row>
    <row r="97" spans="1:21" s="6" customFormat="1" x14ac:dyDescent="0.25">
      <c r="A97" s="11" t="s">
        <v>100</v>
      </c>
      <c r="B97" s="17">
        <v>43769</v>
      </c>
      <c r="C97" s="5">
        <v>0</v>
      </c>
      <c r="D97" s="19">
        <v>0</v>
      </c>
      <c r="E97" s="19">
        <v>0</v>
      </c>
      <c r="F97" s="19">
        <v>0</v>
      </c>
      <c r="G97" s="19">
        <v>0</v>
      </c>
      <c r="H97" s="19">
        <v>0</v>
      </c>
      <c r="I97" s="19">
        <v>0</v>
      </c>
      <c r="J97" s="19">
        <v>0</v>
      </c>
      <c r="K97" s="19">
        <v>0</v>
      </c>
      <c r="L97" s="19">
        <v>0</v>
      </c>
      <c r="M97" s="19">
        <v>0</v>
      </c>
      <c r="N97" s="19">
        <v>0</v>
      </c>
      <c r="O97" s="19">
        <v>0</v>
      </c>
      <c r="P97" s="19">
        <v>0</v>
      </c>
      <c r="Q97" s="19">
        <v>0</v>
      </c>
      <c r="R97" s="19">
        <v>0</v>
      </c>
      <c r="S97" s="8">
        <v>0</v>
      </c>
      <c r="T97" s="9">
        <f t="shared" ref="T97:T102" si="11">SUM(D97:S97)</f>
        <v>0</v>
      </c>
      <c r="U97" s="8"/>
    </row>
    <row r="98" spans="1:21" s="6" customFormat="1" x14ac:dyDescent="0.25">
      <c r="A98" s="11" t="s">
        <v>101</v>
      </c>
      <c r="B98" s="17">
        <v>43664</v>
      </c>
      <c r="C98" s="5">
        <v>31</v>
      </c>
      <c r="D98" s="19">
        <v>1722.36</v>
      </c>
      <c r="E98" s="19">
        <v>2230.59</v>
      </c>
      <c r="F98" s="19">
        <v>9684.7199999999993</v>
      </c>
      <c r="G98" s="19">
        <v>1581.18</v>
      </c>
      <c r="H98" s="19">
        <v>818.82</v>
      </c>
      <c r="I98" s="19">
        <v>1376.54</v>
      </c>
      <c r="J98" s="19">
        <v>324.70999999999998</v>
      </c>
      <c r="K98" s="19">
        <v>91.95</v>
      </c>
      <c r="L98" s="19">
        <v>267.77999999999997</v>
      </c>
      <c r="M98" s="19">
        <v>197.65</v>
      </c>
      <c r="N98" s="19">
        <v>1247.4000000000001</v>
      </c>
      <c r="O98" s="19">
        <v>2532.48</v>
      </c>
      <c r="P98" s="19">
        <v>0</v>
      </c>
      <c r="Q98" s="19">
        <v>0</v>
      </c>
      <c r="R98" s="19">
        <v>3902.54</v>
      </c>
      <c r="S98" s="8">
        <v>2261.2600000000002</v>
      </c>
      <c r="T98" s="9">
        <f t="shared" si="11"/>
        <v>28239.980000000003</v>
      </c>
    </row>
    <row r="99" spans="1:21" s="6" customFormat="1" ht="15.75" x14ac:dyDescent="0.25">
      <c r="A99" s="31" t="s">
        <v>102</v>
      </c>
      <c r="B99" s="17">
        <v>43718</v>
      </c>
      <c r="C99" s="5">
        <v>52</v>
      </c>
      <c r="D99" s="19">
        <v>5357.88</v>
      </c>
      <c r="E99" s="19">
        <v>4347.79</v>
      </c>
      <c r="F99" s="19">
        <v>24704.560000000001</v>
      </c>
      <c r="G99" s="19">
        <v>7026.72</v>
      </c>
      <c r="H99" s="19">
        <v>1976.27</v>
      </c>
      <c r="I99" s="19">
        <v>986.86</v>
      </c>
      <c r="J99" s="19"/>
      <c r="K99" s="19"/>
      <c r="L99" s="19">
        <v>168.54</v>
      </c>
      <c r="M99" s="19">
        <v>614.86</v>
      </c>
      <c r="N99" s="19"/>
      <c r="O99" s="19">
        <v>6890.99</v>
      </c>
      <c r="P99" s="19">
        <v>572</v>
      </c>
      <c r="Q99" s="19">
        <v>7913.97</v>
      </c>
      <c r="R99" s="19">
        <v>10723.48</v>
      </c>
      <c r="S99" s="8">
        <v>6089.69</v>
      </c>
      <c r="T99" s="9">
        <f t="shared" si="11"/>
        <v>77373.61</v>
      </c>
    </row>
    <row r="100" spans="1:21" s="6" customFormat="1" ht="15.75" x14ac:dyDescent="0.25">
      <c r="A100" s="31" t="s">
        <v>103</v>
      </c>
      <c r="B100" s="17">
        <v>43754</v>
      </c>
      <c r="C100" s="5">
        <v>28</v>
      </c>
      <c r="D100" s="19">
        <v>2093.38</v>
      </c>
      <c r="E100" s="19">
        <v>3088.62</v>
      </c>
      <c r="F100" s="19">
        <v>15220.04</v>
      </c>
      <c r="G100" s="19">
        <v>2802.8</v>
      </c>
      <c r="H100" s="19">
        <v>1029.54</v>
      </c>
      <c r="I100" s="19">
        <v>781.14</v>
      </c>
      <c r="J100" s="19"/>
      <c r="K100" s="19">
        <v>73.3</v>
      </c>
      <c r="L100" s="19"/>
      <c r="M100" s="19">
        <v>137.29</v>
      </c>
      <c r="N100" s="19">
        <v>0</v>
      </c>
      <c r="O100" s="19">
        <v>3837.84</v>
      </c>
      <c r="P100" s="19">
        <v>189</v>
      </c>
      <c r="Q100" s="19">
        <v>4418.1099999999997</v>
      </c>
      <c r="R100" s="19">
        <v>5985.19</v>
      </c>
      <c r="S100" s="8">
        <v>3379.61</v>
      </c>
      <c r="T100" s="9">
        <f t="shared" si="11"/>
        <v>43035.86</v>
      </c>
    </row>
    <row r="101" spans="1:21" s="6" customFormat="1" x14ac:dyDescent="0.25">
      <c r="A101" s="11" t="s">
        <v>104</v>
      </c>
      <c r="B101" s="17">
        <v>43754</v>
      </c>
      <c r="C101" s="5">
        <v>38</v>
      </c>
      <c r="D101" s="19">
        <v>1999.84</v>
      </c>
      <c r="E101" s="19">
        <v>1655.63</v>
      </c>
      <c r="F101" s="19">
        <v>6907.89</v>
      </c>
      <c r="G101" s="19">
        <v>819.6</v>
      </c>
      <c r="H101" s="19">
        <v>1295.3599999999999</v>
      </c>
      <c r="I101" s="19">
        <v>592.20000000000005</v>
      </c>
      <c r="J101" s="19">
        <v>0</v>
      </c>
      <c r="K101" s="19">
        <v>14.57</v>
      </c>
      <c r="L101" s="19">
        <v>0</v>
      </c>
      <c r="M101" s="19">
        <v>0</v>
      </c>
      <c r="N101" s="19">
        <v>0</v>
      </c>
      <c r="O101" s="19">
        <v>2070.04</v>
      </c>
      <c r="P101" s="19">
        <v>12</v>
      </c>
      <c r="Q101" s="19"/>
      <c r="R101" s="19">
        <v>3183.99</v>
      </c>
      <c r="S101" s="8">
        <v>1591.97</v>
      </c>
      <c r="T101" s="9">
        <f t="shared" si="11"/>
        <v>20143.090000000004</v>
      </c>
    </row>
    <row r="102" spans="1:21" s="6" customFormat="1" x14ac:dyDescent="0.25">
      <c r="A102" s="11" t="s">
        <v>105</v>
      </c>
      <c r="B102" s="17">
        <v>43699</v>
      </c>
      <c r="C102" s="5">
        <v>141</v>
      </c>
      <c r="D102" s="7">
        <v>15677.98</v>
      </c>
      <c r="E102" s="7">
        <v>6553.83</v>
      </c>
      <c r="F102" s="7">
        <v>52772.18</v>
      </c>
      <c r="G102" s="7">
        <v>8481.44</v>
      </c>
      <c r="H102" s="7">
        <v>3855.24</v>
      </c>
      <c r="I102" s="7">
        <v>1986.81</v>
      </c>
      <c r="J102" s="7"/>
      <c r="K102" s="7"/>
      <c r="L102" s="7">
        <v>1.46</v>
      </c>
      <c r="M102" s="7"/>
      <c r="N102" s="7"/>
      <c r="O102" s="7">
        <v>12323.5</v>
      </c>
      <c r="P102" s="7">
        <v>1960</v>
      </c>
      <c r="Q102" s="7">
        <v>13924.46</v>
      </c>
      <c r="R102" s="7">
        <v>19855.39</v>
      </c>
      <c r="S102" s="8">
        <v>11887.65</v>
      </c>
      <c r="T102" s="9">
        <f t="shared" si="11"/>
        <v>149279.93999999997</v>
      </c>
    </row>
    <row r="103" spans="1:21" s="6" customFormat="1" x14ac:dyDescent="0.25">
      <c r="A103" s="11" t="s">
        <v>106</v>
      </c>
      <c r="B103" s="17">
        <v>43690</v>
      </c>
      <c r="C103" s="5">
        <v>0</v>
      </c>
      <c r="D103" s="7">
        <v>0</v>
      </c>
      <c r="E103" s="7">
        <v>0</v>
      </c>
      <c r="F103" s="7">
        <v>0</v>
      </c>
      <c r="G103" s="7">
        <v>0</v>
      </c>
      <c r="H103" s="7">
        <v>0</v>
      </c>
      <c r="I103" s="7">
        <v>0</v>
      </c>
      <c r="J103" s="7">
        <v>0</v>
      </c>
      <c r="K103" s="7">
        <v>0</v>
      </c>
      <c r="L103" s="7">
        <v>0</v>
      </c>
      <c r="M103" s="7">
        <v>0</v>
      </c>
      <c r="N103" s="7">
        <v>0</v>
      </c>
      <c r="O103" s="7">
        <v>0</v>
      </c>
      <c r="P103" s="7">
        <v>0</v>
      </c>
      <c r="Q103" s="7">
        <v>0</v>
      </c>
      <c r="R103" s="7">
        <v>0</v>
      </c>
      <c r="S103" s="8">
        <v>0</v>
      </c>
      <c r="T103" s="9">
        <v>0</v>
      </c>
    </row>
    <row r="104" spans="1:21" s="6" customFormat="1" x14ac:dyDescent="0.25">
      <c r="A104" s="11" t="s">
        <v>107</v>
      </c>
      <c r="B104" s="17">
        <v>43696</v>
      </c>
      <c r="C104" s="5">
        <v>39</v>
      </c>
      <c r="D104" s="19">
        <v>3882.85</v>
      </c>
      <c r="E104" s="19">
        <v>2518.35</v>
      </c>
      <c r="F104" s="19">
        <v>13367.15</v>
      </c>
      <c r="G104" s="19">
        <v>2577.9499999999998</v>
      </c>
      <c r="H104" s="19">
        <v>2227.86</v>
      </c>
      <c r="I104" s="19">
        <v>1388.59</v>
      </c>
      <c r="J104" s="19">
        <v>0</v>
      </c>
      <c r="K104" s="19">
        <v>3.95</v>
      </c>
      <c r="L104" s="19">
        <v>0</v>
      </c>
      <c r="M104" s="19">
        <v>286.45999999999998</v>
      </c>
      <c r="N104" s="19">
        <v>0</v>
      </c>
      <c r="O104" s="19">
        <v>3506.62</v>
      </c>
      <c r="P104" s="19">
        <v>0</v>
      </c>
      <c r="Q104" s="19"/>
      <c r="R104" s="19">
        <v>5289.48</v>
      </c>
      <c r="S104" s="8">
        <v>3190.76</v>
      </c>
      <c r="T104" s="9">
        <f>SUM(D104:S104)</f>
        <v>38240.019999999997</v>
      </c>
    </row>
    <row r="105" spans="1:21" s="6" customFormat="1" x14ac:dyDescent="0.25">
      <c r="A105" s="11" t="s">
        <v>108</v>
      </c>
      <c r="B105" s="17">
        <v>43692</v>
      </c>
      <c r="C105" s="5">
        <v>32</v>
      </c>
      <c r="D105" s="19">
        <v>2359.3200000000002</v>
      </c>
      <c r="E105" s="19">
        <v>1257.44</v>
      </c>
      <c r="F105" s="19">
        <v>10123.57</v>
      </c>
      <c r="G105" s="19">
        <v>1924.84</v>
      </c>
      <c r="H105" s="19">
        <v>822.15</v>
      </c>
      <c r="I105" s="19">
        <v>0</v>
      </c>
      <c r="J105" s="19">
        <v>0</v>
      </c>
      <c r="K105" s="19">
        <v>0</v>
      </c>
      <c r="L105" s="19">
        <v>2.2999999999999998</v>
      </c>
      <c r="M105" s="19">
        <v>0</v>
      </c>
      <c r="N105" s="19">
        <v>0</v>
      </c>
      <c r="O105" s="19">
        <v>2547.21</v>
      </c>
      <c r="P105" s="19">
        <v>310</v>
      </c>
      <c r="Q105" s="19">
        <v>2674.31</v>
      </c>
      <c r="R105" s="19">
        <v>3883.28</v>
      </c>
      <c r="S105" s="8">
        <v>2375.64</v>
      </c>
      <c r="T105" s="9">
        <f t="shared" ref="T105:T110" si="12">SUM(D105:S105)</f>
        <v>28280.059999999998</v>
      </c>
    </row>
    <row r="106" spans="1:21" s="6" customFormat="1" x14ac:dyDescent="0.25">
      <c r="A106" s="11" t="s">
        <v>109</v>
      </c>
      <c r="B106" s="17">
        <v>43669</v>
      </c>
      <c r="C106" s="5">
        <v>38</v>
      </c>
      <c r="D106" s="7">
        <v>4195.92</v>
      </c>
      <c r="E106" s="7">
        <v>2494.33</v>
      </c>
      <c r="F106" s="7">
        <v>17952.95</v>
      </c>
      <c r="G106" s="7">
        <v>2132.37</v>
      </c>
      <c r="H106" s="7">
        <v>1547.72</v>
      </c>
      <c r="I106" s="7">
        <v>1243.28</v>
      </c>
      <c r="J106" s="7">
        <v>2269.88</v>
      </c>
      <c r="K106" s="7">
        <v>1.31</v>
      </c>
      <c r="L106" s="7">
        <v>0</v>
      </c>
      <c r="M106" s="7">
        <v>309.57</v>
      </c>
      <c r="N106" s="7">
        <v>2166.75</v>
      </c>
      <c r="O106" s="7">
        <v>4607.7299999999996</v>
      </c>
      <c r="P106" s="7"/>
      <c r="Q106" s="7"/>
      <c r="R106" s="7">
        <v>6900.83</v>
      </c>
      <c r="S106" s="8">
        <v>3982.44</v>
      </c>
      <c r="T106" s="9">
        <f t="shared" si="12"/>
        <v>49805.08</v>
      </c>
    </row>
    <row r="107" spans="1:21" s="6" customFormat="1" x14ac:dyDescent="0.25">
      <c r="A107" s="11" t="s">
        <v>110</v>
      </c>
      <c r="B107" s="17">
        <v>43689</v>
      </c>
      <c r="C107" s="5">
        <v>83</v>
      </c>
      <c r="D107" s="19">
        <v>19077.599999999999</v>
      </c>
      <c r="E107" s="19">
        <v>9851.57</v>
      </c>
      <c r="F107" s="19">
        <v>88194.84</v>
      </c>
      <c r="G107" s="19">
        <v>8913.31</v>
      </c>
      <c r="H107" s="19">
        <v>6880.46</v>
      </c>
      <c r="I107" s="19">
        <v>2783.43</v>
      </c>
      <c r="J107" s="19">
        <v>0</v>
      </c>
      <c r="K107" s="19">
        <v>0</v>
      </c>
      <c r="L107" s="19">
        <v>0</v>
      </c>
      <c r="M107" s="19">
        <v>0</v>
      </c>
      <c r="N107" s="19">
        <v>0</v>
      </c>
      <c r="O107" s="19">
        <v>19573.48</v>
      </c>
      <c r="P107" s="19">
        <v>1743</v>
      </c>
      <c r="Q107" s="19">
        <v>22012.38</v>
      </c>
      <c r="R107" s="19">
        <v>31708.73</v>
      </c>
      <c r="S107" s="8">
        <v>17016.34</v>
      </c>
      <c r="T107" s="9">
        <f t="shared" si="12"/>
        <v>227755.14</v>
      </c>
    </row>
    <row r="108" spans="1:21" s="6" customFormat="1" x14ac:dyDescent="0.25">
      <c r="A108" s="11" t="s">
        <v>111</v>
      </c>
      <c r="B108" s="17">
        <v>43671</v>
      </c>
      <c r="C108" s="5">
        <v>55</v>
      </c>
      <c r="D108" s="7">
        <v>8071.08</v>
      </c>
      <c r="E108" s="7">
        <v>7078.72</v>
      </c>
      <c r="F108" s="7">
        <v>48360.24</v>
      </c>
      <c r="G108" s="7">
        <v>2249.34</v>
      </c>
      <c r="H108" s="7">
        <v>2480.85</v>
      </c>
      <c r="I108" s="7">
        <v>1342.85</v>
      </c>
      <c r="J108" s="7">
        <v>0</v>
      </c>
      <c r="K108" s="7">
        <v>5668.59</v>
      </c>
      <c r="L108" s="7">
        <v>2585.35</v>
      </c>
      <c r="M108" s="7">
        <v>0</v>
      </c>
      <c r="N108" s="7">
        <v>0</v>
      </c>
      <c r="O108" s="7">
        <v>10535.38</v>
      </c>
      <c r="P108" s="7">
        <v>495</v>
      </c>
      <c r="Q108" s="7">
        <v>11629.99</v>
      </c>
      <c r="R108" s="7">
        <v>18003.41</v>
      </c>
      <c r="S108" s="8">
        <v>9771.68</v>
      </c>
      <c r="T108" s="9">
        <f t="shared" si="12"/>
        <v>128272.48000000001</v>
      </c>
    </row>
    <row r="109" spans="1:21" s="6" customFormat="1" x14ac:dyDescent="0.25">
      <c r="A109" s="11" t="s">
        <v>112</v>
      </c>
      <c r="B109" s="17">
        <v>43705</v>
      </c>
      <c r="C109" s="5">
        <v>30</v>
      </c>
      <c r="D109" s="7">
        <v>3376.24</v>
      </c>
      <c r="E109" s="7">
        <v>2905.77</v>
      </c>
      <c r="F109" s="7">
        <v>14943.96</v>
      </c>
      <c r="G109" s="7">
        <v>1771.16</v>
      </c>
      <c r="H109" s="7"/>
      <c r="I109" s="7">
        <v>552.64</v>
      </c>
      <c r="J109" s="7"/>
      <c r="K109" s="7">
        <v>120</v>
      </c>
      <c r="L109" s="7">
        <v>1200.46</v>
      </c>
      <c r="M109" s="7"/>
      <c r="N109" s="7"/>
      <c r="O109" s="7">
        <v>3689.97</v>
      </c>
      <c r="P109" s="7">
        <v>290</v>
      </c>
      <c r="Q109" s="7">
        <v>4022.63</v>
      </c>
      <c r="R109" s="7">
        <v>5778.58</v>
      </c>
      <c r="S109" s="8">
        <v>3334.28</v>
      </c>
      <c r="T109" s="9">
        <f t="shared" si="12"/>
        <v>41985.69</v>
      </c>
    </row>
    <row r="110" spans="1:21" s="6" customFormat="1" x14ac:dyDescent="0.25">
      <c r="A110" s="11" t="s">
        <v>113</v>
      </c>
      <c r="B110" s="17">
        <v>43690</v>
      </c>
      <c r="C110" s="5">
        <v>28</v>
      </c>
      <c r="D110" s="7">
        <v>2253.15</v>
      </c>
      <c r="E110" s="7">
        <v>1447.48</v>
      </c>
      <c r="F110" s="7">
        <v>11653.61</v>
      </c>
      <c r="G110" s="7">
        <v>868</v>
      </c>
      <c r="H110" s="7">
        <v>738.74</v>
      </c>
      <c r="I110" s="7">
        <v>633.46</v>
      </c>
      <c r="J110" s="7">
        <v>0</v>
      </c>
      <c r="K110" s="7">
        <v>1292.79</v>
      </c>
      <c r="L110" s="7">
        <v>0</v>
      </c>
      <c r="M110" s="7">
        <v>232.22</v>
      </c>
      <c r="N110" s="7">
        <v>0</v>
      </c>
      <c r="O110" s="7">
        <v>2795.22</v>
      </c>
      <c r="P110" s="7">
        <v>756</v>
      </c>
      <c r="Q110" s="7">
        <v>3107.93</v>
      </c>
      <c r="R110" s="7">
        <v>4451.45</v>
      </c>
      <c r="S110" s="8">
        <v>2645.74</v>
      </c>
      <c r="T110" s="9">
        <f t="shared" si="12"/>
        <v>32875.790000000008</v>
      </c>
    </row>
    <row r="111" spans="1:21" s="6" customFormat="1" x14ac:dyDescent="0.25">
      <c r="A111" s="11" t="s">
        <v>114</v>
      </c>
      <c r="B111" s="17">
        <v>43698</v>
      </c>
      <c r="C111" s="5">
        <v>31</v>
      </c>
      <c r="D111" s="19">
        <v>2467.42</v>
      </c>
      <c r="E111" s="19">
        <v>1658.43</v>
      </c>
      <c r="F111" s="19">
        <v>7287.63</v>
      </c>
      <c r="G111" s="19">
        <v>1516.88</v>
      </c>
      <c r="H111" s="19">
        <v>657.37</v>
      </c>
      <c r="I111" s="19">
        <v>858.96</v>
      </c>
      <c r="J111" s="19">
        <v>1678.68</v>
      </c>
      <c r="K111" s="19"/>
      <c r="L111" s="19"/>
      <c r="M111" s="19"/>
      <c r="N111" s="19"/>
      <c r="O111" s="19">
        <v>752.82</v>
      </c>
      <c r="P111" s="19"/>
      <c r="Q111" s="19">
        <v>2537.38</v>
      </c>
      <c r="R111" s="19">
        <v>3732.94</v>
      </c>
      <c r="S111" s="8">
        <v>3279.47</v>
      </c>
      <c r="T111" s="9">
        <f>SUM(D111:S111)</f>
        <v>26427.980000000003</v>
      </c>
    </row>
    <row r="112" spans="1:21" s="6" customFormat="1" x14ac:dyDescent="0.25">
      <c r="A112" s="11" t="s">
        <v>115</v>
      </c>
      <c r="B112" s="17">
        <v>43706</v>
      </c>
      <c r="C112" s="5">
        <v>22</v>
      </c>
      <c r="D112" s="7">
        <v>1514.31</v>
      </c>
      <c r="E112" s="7">
        <v>1034.7</v>
      </c>
      <c r="F112" s="7">
        <v>3869.69</v>
      </c>
      <c r="G112" s="7">
        <v>586.6</v>
      </c>
      <c r="H112" s="7">
        <v>382.51</v>
      </c>
      <c r="I112" s="7">
        <v>360.5</v>
      </c>
      <c r="J112" s="7"/>
      <c r="K112" s="7">
        <v>5.23</v>
      </c>
      <c r="L112" s="7">
        <v>44</v>
      </c>
      <c r="M112" s="7">
        <v>179.22</v>
      </c>
      <c r="N112" s="7">
        <v>0</v>
      </c>
      <c r="O112" s="7">
        <v>1000.76</v>
      </c>
      <c r="P112" s="7"/>
      <c r="Q112" s="7"/>
      <c r="R112" s="7">
        <v>1555.74</v>
      </c>
      <c r="S112" s="8">
        <v>1110.8900000000001</v>
      </c>
      <c r="T112" s="9">
        <f t="shared" ref="T112:T117" si="13">SUM(D112:S112)</f>
        <v>11644.15</v>
      </c>
    </row>
    <row r="113" spans="1:20" s="6" customFormat="1" x14ac:dyDescent="0.25">
      <c r="A113" s="11" t="s">
        <v>116</v>
      </c>
      <c r="B113" s="17">
        <v>43668</v>
      </c>
      <c r="C113" s="5">
        <v>71</v>
      </c>
      <c r="D113" s="19">
        <v>3986.56</v>
      </c>
      <c r="E113" s="19">
        <v>2613.52</v>
      </c>
      <c r="F113" s="19">
        <v>17281.21</v>
      </c>
      <c r="G113" s="19">
        <v>1502.8</v>
      </c>
      <c r="H113" s="19">
        <v>0</v>
      </c>
      <c r="I113" s="19"/>
      <c r="J113" s="19">
        <v>3266.78</v>
      </c>
      <c r="K113" s="19">
        <v>1481.6</v>
      </c>
      <c r="L113" s="19"/>
      <c r="M113" s="19"/>
      <c r="N113" s="19">
        <v>3266.78</v>
      </c>
      <c r="O113" s="19">
        <v>4467.2</v>
      </c>
      <c r="P113" s="19">
        <v>0</v>
      </c>
      <c r="Q113" s="19"/>
      <c r="R113" s="19">
        <v>6830.85</v>
      </c>
      <c r="S113" s="8">
        <v>6352</v>
      </c>
      <c r="T113" s="9">
        <f t="shared" si="13"/>
        <v>51049.299999999996</v>
      </c>
    </row>
    <row r="114" spans="1:20" s="6" customFormat="1" x14ac:dyDescent="0.25">
      <c r="A114" s="11" t="s">
        <v>117</v>
      </c>
      <c r="B114" s="17">
        <v>43669</v>
      </c>
      <c r="C114" s="5">
        <v>3</v>
      </c>
      <c r="D114" s="7">
        <v>383.08</v>
      </c>
      <c r="E114" s="7">
        <v>244.92</v>
      </c>
      <c r="F114" s="7">
        <v>2301.62</v>
      </c>
      <c r="G114" s="7">
        <v>373.66</v>
      </c>
      <c r="H114" s="7">
        <v>125.6</v>
      </c>
      <c r="I114" s="7">
        <v>139.1</v>
      </c>
      <c r="J114" s="7">
        <v>0</v>
      </c>
      <c r="K114" s="7">
        <v>0</v>
      </c>
      <c r="L114" s="7">
        <v>0</v>
      </c>
      <c r="M114" s="7">
        <v>0</v>
      </c>
      <c r="N114" s="7">
        <v>0</v>
      </c>
      <c r="O114" s="7">
        <v>552.95000000000005</v>
      </c>
      <c r="P114" s="7">
        <v>30</v>
      </c>
      <c r="Q114" s="7">
        <v>535.91</v>
      </c>
      <c r="R114" s="7">
        <v>820.77</v>
      </c>
      <c r="S114" s="8">
        <v>455.39</v>
      </c>
      <c r="T114" s="9">
        <f t="shared" si="13"/>
        <v>5962.9999999999991</v>
      </c>
    </row>
    <row r="115" spans="1:20" s="6" customFormat="1" x14ac:dyDescent="0.25">
      <c r="A115" s="11" t="s">
        <v>118</v>
      </c>
      <c r="B115" s="17">
        <v>43725</v>
      </c>
      <c r="C115" s="5">
        <v>23</v>
      </c>
      <c r="D115" s="19">
        <v>1322.61</v>
      </c>
      <c r="E115" s="19">
        <v>1116.6600000000001</v>
      </c>
      <c r="F115" s="19">
        <v>7382.87</v>
      </c>
      <c r="G115" s="19">
        <v>487.84</v>
      </c>
      <c r="H115" s="19">
        <v>878.15</v>
      </c>
      <c r="I115" s="19">
        <v>444.49</v>
      </c>
      <c r="J115" s="19">
        <v>0</v>
      </c>
      <c r="K115" s="19">
        <v>0</v>
      </c>
      <c r="L115" s="19">
        <v>0</v>
      </c>
      <c r="M115" s="19">
        <v>0</v>
      </c>
      <c r="N115" s="19">
        <v>0</v>
      </c>
      <c r="O115" s="19">
        <v>1600.08</v>
      </c>
      <c r="P115" s="19">
        <v>184</v>
      </c>
      <c r="Q115" s="19">
        <v>2027.02</v>
      </c>
      <c r="R115" s="19">
        <v>2777.94</v>
      </c>
      <c r="S115" s="8">
        <v>1710.98</v>
      </c>
      <c r="T115" s="9">
        <f t="shared" si="13"/>
        <v>19932.64</v>
      </c>
    </row>
    <row r="116" spans="1:20" s="6" customFormat="1" x14ac:dyDescent="0.25">
      <c r="A116" s="11" t="s">
        <v>119</v>
      </c>
      <c r="B116" s="17">
        <v>43704</v>
      </c>
      <c r="C116" s="5">
        <v>205</v>
      </c>
      <c r="D116" s="19">
        <v>20654.310000000001</v>
      </c>
      <c r="E116" s="19">
        <v>24548.17</v>
      </c>
      <c r="F116" s="19">
        <v>53056.21</v>
      </c>
      <c r="G116" s="19">
        <v>6771.89</v>
      </c>
      <c r="H116" s="19">
        <v>3893.83</v>
      </c>
      <c r="I116" s="19">
        <v>1039.52</v>
      </c>
      <c r="J116" s="19"/>
      <c r="K116" s="19">
        <v>4350</v>
      </c>
      <c r="L116" s="19">
        <v>283.64999999999998</v>
      </c>
      <c r="M116" s="19">
        <v>423.1</v>
      </c>
      <c r="N116" s="19"/>
      <c r="O116" s="19">
        <v>16569.939999999999</v>
      </c>
      <c r="P116" s="19">
        <v>6355</v>
      </c>
      <c r="Q116" s="19">
        <v>18659.23</v>
      </c>
      <c r="R116" s="19">
        <v>27160.01</v>
      </c>
      <c r="S116" s="8">
        <v>16449.91</v>
      </c>
      <c r="T116" s="9">
        <f t="shared" si="13"/>
        <v>200214.77000000002</v>
      </c>
    </row>
    <row r="117" spans="1:20" s="6" customFormat="1" x14ac:dyDescent="0.25">
      <c r="A117" s="11" t="s">
        <v>120</v>
      </c>
      <c r="B117" s="17">
        <v>43683</v>
      </c>
      <c r="C117" s="5">
        <v>17</v>
      </c>
      <c r="D117" s="7">
        <v>1339.64</v>
      </c>
      <c r="E117" s="7">
        <v>911.38</v>
      </c>
      <c r="F117" s="7">
        <v>6610.31</v>
      </c>
      <c r="G117" s="7">
        <v>966.28</v>
      </c>
      <c r="H117" s="7">
        <v>251.23</v>
      </c>
      <c r="I117" s="7">
        <v>1158.8900000000001</v>
      </c>
      <c r="J117" s="7"/>
      <c r="K117" s="7">
        <v>450</v>
      </c>
      <c r="L117" s="7">
        <v>120.76</v>
      </c>
      <c r="M117" s="7">
        <v>1.04</v>
      </c>
      <c r="N117" s="7"/>
      <c r="O117" s="7">
        <v>1742.08</v>
      </c>
      <c r="P117" s="7">
        <v>323</v>
      </c>
      <c r="Q117" s="7">
        <v>1917.58</v>
      </c>
      <c r="R117" s="7">
        <v>2779.44</v>
      </c>
      <c r="S117" s="8">
        <v>1627.7</v>
      </c>
      <c r="T117" s="9">
        <f t="shared" si="13"/>
        <v>20199.330000000002</v>
      </c>
    </row>
    <row r="118" spans="1:20" s="6" customFormat="1" x14ac:dyDescent="0.25">
      <c r="A118" s="11" t="s">
        <v>121</v>
      </c>
      <c r="B118" s="17">
        <v>43732</v>
      </c>
      <c r="C118" s="5">
        <v>51</v>
      </c>
      <c r="D118" s="7">
        <v>4856.93</v>
      </c>
      <c r="E118" s="7">
        <v>5016.1400000000003</v>
      </c>
      <c r="F118" s="7">
        <v>19666.53</v>
      </c>
      <c r="G118" s="7">
        <v>3622.76</v>
      </c>
      <c r="H118" s="7">
        <v>1194.3399999999999</v>
      </c>
      <c r="I118" s="7">
        <v>3582.96</v>
      </c>
      <c r="J118" s="7">
        <v>0</v>
      </c>
      <c r="K118" s="7">
        <v>0</v>
      </c>
      <c r="L118" s="7">
        <v>0</v>
      </c>
      <c r="M118" s="7">
        <v>597.15</v>
      </c>
      <c r="N118" s="7">
        <v>351.03</v>
      </c>
      <c r="O118" s="7">
        <v>6042.11</v>
      </c>
      <c r="P118" s="7">
        <v>204</v>
      </c>
      <c r="Q118" s="7">
        <v>6819.84</v>
      </c>
      <c r="R118" s="7">
        <v>9143.41</v>
      </c>
      <c r="S118" s="8">
        <v>5336.7</v>
      </c>
      <c r="T118" s="9">
        <f t="shared" ref="T118:T123" si="14">SUM(D118:S118)</f>
        <v>66433.899999999994</v>
      </c>
    </row>
    <row r="119" spans="1:20" s="6" customFormat="1" x14ac:dyDescent="0.25">
      <c r="A119" s="11" t="s">
        <v>122</v>
      </c>
      <c r="B119" s="17">
        <v>43719</v>
      </c>
      <c r="C119" s="5">
        <v>21</v>
      </c>
      <c r="D119" s="19">
        <v>1409.72</v>
      </c>
      <c r="E119" s="19">
        <v>2384.63</v>
      </c>
      <c r="F119" s="19">
        <v>6505.07</v>
      </c>
      <c r="G119" s="19">
        <v>1028.26</v>
      </c>
      <c r="H119" s="19">
        <v>520</v>
      </c>
      <c r="I119" s="19">
        <v>727.62</v>
      </c>
      <c r="J119" s="19">
        <v>0</v>
      </c>
      <c r="K119" s="19">
        <v>0</v>
      </c>
      <c r="L119" s="19">
        <v>0</v>
      </c>
      <c r="M119" s="19">
        <v>0</v>
      </c>
      <c r="N119" s="19">
        <v>722.06</v>
      </c>
      <c r="O119" s="19">
        <v>1615.46</v>
      </c>
      <c r="P119" s="19"/>
      <c r="Q119" s="19"/>
      <c r="R119" s="19">
        <v>2651.75</v>
      </c>
      <c r="S119" s="8">
        <v>1616.03</v>
      </c>
      <c r="T119" s="9">
        <f t="shared" si="14"/>
        <v>19180.599999999999</v>
      </c>
    </row>
    <row r="120" spans="1:20" s="6" customFormat="1" x14ac:dyDescent="0.25">
      <c r="A120" s="11" t="s">
        <v>141</v>
      </c>
      <c r="B120" s="17">
        <v>43691</v>
      </c>
      <c r="C120" s="5">
        <v>4</v>
      </c>
      <c r="D120" s="19">
        <v>59.97</v>
      </c>
      <c r="E120" s="19">
        <v>38.33</v>
      </c>
      <c r="F120" s="19">
        <v>219.7</v>
      </c>
      <c r="G120" s="19">
        <v>25.56</v>
      </c>
      <c r="H120" s="19">
        <v>19.66</v>
      </c>
      <c r="I120" s="19">
        <v>26.05</v>
      </c>
      <c r="J120" s="19">
        <v>0</v>
      </c>
      <c r="K120" s="19">
        <v>0</v>
      </c>
      <c r="L120" s="19">
        <v>0</v>
      </c>
      <c r="M120" s="19">
        <v>6.87</v>
      </c>
      <c r="N120" s="19">
        <v>0</v>
      </c>
      <c r="O120" s="19">
        <v>61.5</v>
      </c>
      <c r="P120" s="19">
        <v>48</v>
      </c>
      <c r="Q120" s="19">
        <v>64.48</v>
      </c>
      <c r="R120" s="19">
        <v>100.13</v>
      </c>
      <c r="S120" s="8">
        <v>106.06</v>
      </c>
      <c r="T120" s="9">
        <f t="shared" si="14"/>
        <v>776.31</v>
      </c>
    </row>
    <row r="121" spans="1:20" s="6" customFormat="1" x14ac:dyDescent="0.25">
      <c r="A121" s="11" t="s">
        <v>142</v>
      </c>
      <c r="B121" s="17">
        <v>43691</v>
      </c>
      <c r="C121" s="5">
        <v>78</v>
      </c>
      <c r="D121" s="25">
        <v>12290.06</v>
      </c>
      <c r="E121" s="19">
        <v>7857.54</v>
      </c>
      <c r="F121" s="19">
        <v>36619.97</v>
      </c>
      <c r="G121" s="19">
        <v>5238.3999999999996</v>
      </c>
      <c r="H121" s="19">
        <v>4029.52</v>
      </c>
      <c r="I121" s="19">
        <v>5339.12</v>
      </c>
      <c r="J121" s="19"/>
      <c r="K121" s="19">
        <v>47.02</v>
      </c>
      <c r="L121" s="19"/>
      <c r="M121" s="19">
        <v>1410.337</v>
      </c>
      <c r="N121" s="19">
        <v>0</v>
      </c>
      <c r="O121" s="19">
        <v>11315.69</v>
      </c>
      <c r="P121" s="19">
        <v>936</v>
      </c>
      <c r="Q121" s="19">
        <v>11854.77</v>
      </c>
      <c r="R121" s="19">
        <v>17093.39</v>
      </c>
      <c r="S121" s="8">
        <v>9638.68</v>
      </c>
      <c r="T121" s="9">
        <f t="shared" si="14"/>
        <v>123670.497</v>
      </c>
    </row>
    <row r="122" spans="1:20" s="6" customFormat="1" x14ac:dyDescent="0.25">
      <c r="A122" s="11" t="s">
        <v>123</v>
      </c>
      <c r="B122" s="17">
        <v>43696</v>
      </c>
      <c r="C122" s="5">
        <v>2</v>
      </c>
      <c r="D122" s="19">
        <v>17.690000000000001</v>
      </c>
      <c r="E122" s="19">
        <v>11.31</v>
      </c>
      <c r="F122" s="19">
        <v>50.17</v>
      </c>
      <c r="G122" s="19">
        <v>19.579999999999998</v>
      </c>
      <c r="H122" s="19">
        <v>7.98</v>
      </c>
      <c r="I122" s="19">
        <v>18.850000000000001</v>
      </c>
      <c r="J122" s="19">
        <v>0</v>
      </c>
      <c r="K122" s="19">
        <v>9.6000000000000002E-2</v>
      </c>
      <c r="L122" s="19">
        <v>0</v>
      </c>
      <c r="M122" s="19">
        <v>6.74</v>
      </c>
      <c r="N122" s="19">
        <v>0</v>
      </c>
      <c r="O122" s="19">
        <v>20.76</v>
      </c>
      <c r="P122" s="19">
        <v>10</v>
      </c>
      <c r="Q122" s="19">
        <v>21.7</v>
      </c>
      <c r="R122" s="19">
        <v>30.99</v>
      </c>
      <c r="S122" s="8">
        <v>89.5</v>
      </c>
      <c r="T122" s="9">
        <f t="shared" si="14"/>
        <v>305.36599999999999</v>
      </c>
    </row>
    <row r="123" spans="1:20" s="6" customFormat="1" x14ac:dyDescent="0.25">
      <c r="A123" s="11" t="s">
        <v>124</v>
      </c>
      <c r="B123" s="17">
        <v>43700</v>
      </c>
      <c r="C123" s="5">
        <v>21</v>
      </c>
      <c r="D123" s="7">
        <v>4232.0600000000004</v>
      </c>
      <c r="E123" s="7">
        <v>2428.23</v>
      </c>
      <c r="F123" s="7">
        <v>23608.51</v>
      </c>
      <c r="G123" s="7">
        <v>2185.4</v>
      </c>
      <c r="H123" s="7">
        <v>693.78</v>
      </c>
      <c r="I123" s="7">
        <v>604.92999999999995</v>
      </c>
      <c r="J123" s="7">
        <v>0</v>
      </c>
      <c r="K123" s="7">
        <v>1157.1199999999999</v>
      </c>
      <c r="L123" s="7">
        <v>352</v>
      </c>
      <c r="M123" s="7"/>
      <c r="N123" s="7"/>
      <c r="O123" s="7">
        <v>4976.3500000000004</v>
      </c>
      <c r="P123" s="7"/>
      <c r="Q123" s="7">
        <v>6051.53</v>
      </c>
      <c r="R123" s="7">
        <v>8194.31</v>
      </c>
      <c r="S123" s="8">
        <v>4426.17</v>
      </c>
      <c r="T123" s="9">
        <f t="shared" si="14"/>
        <v>58910.39</v>
      </c>
    </row>
    <row r="125" spans="1:20" x14ac:dyDescent="0.25">
      <c r="A125" s="22" t="s">
        <v>138</v>
      </c>
      <c r="C125" s="5">
        <f>SUM(C2:C124)</f>
        <v>7833</v>
      </c>
      <c r="D125" s="33">
        <f t="shared" ref="D125:T125" si="15">SUM(D2:D124)</f>
        <v>820903.68000000017</v>
      </c>
      <c r="E125" s="33">
        <f t="shared" si="15"/>
        <v>869156.09999999963</v>
      </c>
      <c r="F125" s="33">
        <f t="shared" si="15"/>
        <v>3996573.75</v>
      </c>
      <c r="G125" s="33">
        <f t="shared" si="15"/>
        <v>325844.78000000014</v>
      </c>
      <c r="H125" s="33">
        <f t="shared" si="15"/>
        <v>206157.94999999992</v>
      </c>
      <c r="I125" s="33">
        <f t="shared" si="15"/>
        <v>275745.24000000005</v>
      </c>
      <c r="J125" s="33">
        <f t="shared" si="15"/>
        <v>17877.46</v>
      </c>
      <c r="K125" s="33">
        <f t="shared" si="15"/>
        <v>295960.09600000002</v>
      </c>
      <c r="L125" s="33">
        <f t="shared" si="15"/>
        <v>92863.11</v>
      </c>
      <c r="M125" s="33">
        <f t="shared" si="15"/>
        <v>29734.227000000003</v>
      </c>
      <c r="N125" s="33">
        <f t="shared" si="15"/>
        <v>80198.229999999981</v>
      </c>
      <c r="O125" s="33">
        <f t="shared" si="15"/>
        <v>986421.00999999943</v>
      </c>
      <c r="P125" s="33">
        <f t="shared" si="15"/>
        <v>122539.78</v>
      </c>
      <c r="Q125" s="33">
        <f t="shared" si="15"/>
        <v>1025853.22</v>
      </c>
      <c r="R125" s="33">
        <f t="shared" si="15"/>
        <v>1591129.2599999993</v>
      </c>
      <c r="S125" s="33">
        <f t="shared" si="15"/>
        <v>941947.29999999981</v>
      </c>
      <c r="T125" s="4">
        <f t="shared" si="15"/>
        <v>11678905.193000006</v>
      </c>
    </row>
    <row r="128" spans="1:20" x14ac:dyDescent="0.25">
      <c r="A128" s="21"/>
    </row>
  </sheetData>
  <pageMargins left="0.7" right="0.7" top="0.75" bottom="0.75" header="0.3" footer="0.3"/>
  <pageSetup paperSize="5" scale="25" orientation="landscape" r:id="rId1"/>
  <headerFooter>
    <oddFooter>&amp;L_x000D_&amp;1#&amp;"Calibri"&amp;8&amp;K000000 Sensitivity: Internal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38"/>
  <sheetViews>
    <sheetView workbookViewId="0">
      <pane ySplit="1" topLeftCell="A2" activePane="bottomLeft" state="frozen"/>
      <selection pane="bottomLeft" activeCell="D11" sqref="D11"/>
    </sheetView>
  </sheetViews>
  <sheetFormatPr defaultColWidth="9.140625" defaultRowHeight="15" x14ac:dyDescent="0.25"/>
  <cols>
    <col min="1" max="1" width="20.140625" style="12" customWidth="1"/>
    <col min="2" max="2" width="12.140625" style="2" customWidth="1"/>
    <col min="3" max="3" width="14.5703125" style="10" customWidth="1"/>
    <col min="4" max="4" width="14.28515625" style="2" customWidth="1"/>
    <col min="5" max="5" width="13.140625" style="2" customWidth="1"/>
    <col min="6" max="6" width="15.7109375" style="2" customWidth="1"/>
    <col min="7" max="8" width="14.28515625" style="2" customWidth="1"/>
    <col min="9" max="10" width="13.140625" style="2" customWidth="1"/>
    <col min="11" max="11" width="14.140625" style="2" customWidth="1"/>
    <col min="12" max="12" width="13.140625" style="2" customWidth="1"/>
    <col min="13" max="13" width="11.5703125" style="2" customWidth="1"/>
    <col min="14" max="14" width="13.140625" style="2" customWidth="1"/>
    <col min="15" max="15" width="14.140625" style="2" customWidth="1"/>
    <col min="16" max="16" width="13.5703125" style="2" customWidth="1"/>
    <col min="17" max="17" width="14.140625" style="2" customWidth="1"/>
    <col min="18" max="18" width="14.28515625" style="2" customWidth="1"/>
    <col min="19" max="19" width="14" style="2" customWidth="1"/>
    <col min="20" max="20" width="21.140625" style="3" customWidth="1"/>
    <col min="21" max="16384" width="9.140625" style="2"/>
  </cols>
  <sheetData>
    <row r="1" spans="1:33" s="16" customFormat="1" ht="12.75" x14ac:dyDescent="0.2">
      <c r="A1" s="14" t="s">
        <v>0</v>
      </c>
      <c r="B1" s="15" t="s">
        <v>139</v>
      </c>
      <c r="C1" s="13" t="s">
        <v>136</v>
      </c>
      <c r="D1" s="15" t="s">
        <v>1</v>
      </c>
      <c r="E1" s="15" t="s">
        <v>2</v>
      </c>
      <c r="F1" s="15" t="s">
        <v>3</v>
      </c>
      <c r="G1" s="15" t="s">
        <v>128</v>
      </c>
      <c r="H1" s="15" t="s">
        <v>129</v>
      </c>
      <c r="I1" s="15" t="s">
        <v>130</v>
      </c>
      <c r="J1" s="15" t="s">
        <v>137</v>
      </c>
      <c r="K1" s="15" t="s">
        <v>132</v>
      </c>
      <c r="L1" s="15" t="s">
        <v>133</v>
      </c>
      <c r="M1" s="15" t="s">
        <v>134</v>
      </c>
      <c r="N1" s="15" t="s">
        <v>131</v>
      </c>
      <c r="O1" s="15" t="s">
        <v>4</v>
      </c>
      <c r="P1" s="15" t="s">
        <v>125</v>
      </c>
      <c r="Q1" s="15" t="s">
        <v>127</v>
      </c>
      <c r="R1" s="15" t="s">
        <v>5</v>
      </c>
      <c r="S1" s="15" t="s">
        <v>126</v>
      </c>
      <c r="T1" s="13" t="s">
        <v>135</v>
      </c>
    </row>
    <row r="2" spans="1:33" s="6" customFormat="1" x14ac:dyDescent="0.25">
      <c r="A2" s="11" t="s">
        <v>6</v>
      </c>
      <c r="B2" s="17">
        <v>44104</v>
      </c>
      <c r="C2" s="5">
        <v>33</v>
      </c>
      <c r="D2" s="19">
        <v>1604.27</v>
      </c>
      <c r="E2" s="19">
        <v>2335.7800000000002</v>
      </c>
      <c r="F2" s="19">
        <v>7127.16</v>
      </c>
      <c r="G2" s="19">
        <v>710.08</v>
      </c>
      <c r="H2" s="19">
        <v>394.49</v>
      </c>
      <c r="I2" s="19">
        <v>845.56</v>
      </c>
      <c r="J2" s="19">
        <v>1314.97</v>
      </c>
      <c r="K2" s="19">
        <v>207.21</v>
      </c>
      <c r="L2" s="19"/>
      <c r="M2" s="19">
        <v>236.69</v>
      </c>
      <c r="N2" s="19">
        <v>973.07</v>
      </c>
      <c r="O2" s="19">
        <v>2046.05</v>
      </c>
      <c r="P2" s="19"/>
      <c r="Q2" s="19"/>
      <c r="R2" s="19">
        <v>3130.09</v>
      </c>
      <c r="S2" s="8">
        <v>2027.03</v>
      </c>
      <c r="T2" s="9">
        <f t="shared" ref="T2:T7" si="0">SUM(D2:S2)</f>
        <v>22952.449999999997</v>
      </c>
    </row>
    <row r="3" spans="1:33" s="6" customFormat="1" x14ac:dyDescent="0.25">
      <c r="A3" s="11" t="s">
        <v>7</v>
      </c>
      <c r="B3" s="17">
        <v>44098</v>
      </c>
      <c r="C3" s="5">
        <v>120</v>
      </c>
      <c r="D3" s="7">
        <v>2829.85</v>
      </c>
      <c r="E3" s="7">
        <v>2136.37</v>
      </c>
      <c r="F3" s="7">
        <v>12616.64</v>
      </c>
      <c r="G3" s="7">
        <v>1836.34</v>
      </c>
      <c r="H3" s="7">
        <v>1275.6600000000001</v>
      </c>
      <c r="I3" s="7">
        <v>828.06</v>
      </c>
      <c r="J3" s="7"/>
      <c r="K3" s="7">
        <v>1290</v>
      </c>
      <c r="L3" s="7">
        <v>0.54</v>
      </c>
      <c r="M3" s="7">
        <v>463.89</v>
      </c>
      <c r="N3" s="7">
        <v>1999.73</v>
      </c>
      <c r="O3" s="7">
        <v>3783.15</v>
      </c>
      <c r="P3" s="7">
        <v>721</v>
      </c>
      <c r="Q3" s="7">
        <v>4294.78</v>
      </c>
      <c r="R3" s="7">
        <v>6152.23</v>
      </c>
      <c r="S3" s="8">
        <v>4757.1099999999997</v>
      </c>
      <c r="T3" s="9">
        <f t="shared" si="0"/>
        <v>44985.350000000006</v>
      </c>
    </row>
    <row r="4" spans="1:33" s="6" customFormat="1" x14ac:dyDescent="0.25">
      <c r="A4" s="11" t="s">
        <v>8</v>
      </c>
      <c r="B4" s="17">
        <v>44063</v>
      </c>
      <c r="C4" s="5">
        <v>42</v>
      </c>
      <c r="D4" s="19">
        <v>4164.8500000000004</v>
      </c>
      <c r="E4" s="19">
        <v>4403.84</v>
      </c>
      <c r="F4" s="19">
        <v>22053.119999999999</v>
      </c>
      <c r="G4" s="19">
        <v>2799.33</v>
      </c>
      <c r="H4" s="19">
        <v>1024.1400000000001</v>
      </c>
      <c r="I4" s="19">
        <v>470.42</v>
      </c>
      <c r="J4" s="19"/>
      <c r="K4" s="19">
        <v>2028.5</v>
      </c>
      <c r="L4" s="19"/>
      <c r="M4" s="19"/>
      <c r="N4" s="19"/>
      <c r="O4" s="19">
        <v>5415.29</v>
      </c>
      <c r="P4" s="19">
        <v>546</v>
      </c>
      <c r="Q4" s="19">
        <v>5997.07</v>
      </c>
      <c r="R4" s="19">
        <v>8672.2999999999993</v>
      </c>
      <c r="S4" s="8">
        <v>4924.12</v>
      </c>
      <c r="T4" s="9">
        <f t="shared" si="0"/>
        <v>62498.98</v>
      </c>
    </row>
    <row r="5" spans="1:33" s="6" customFormat="1" x14ac:dyDescent="0.25">
      <c r="A5" s="11" t="s">
        <v>9</v>
      </c>
      <c r="B5" s="17">
        <v>44083</v>
      </c>
      <c r="C5" s="5">
        <v>17</v>
      </c>
      <c r="D5" s="7">
        <v>1422.76</v>
      </c>
      <c r="E5" s="7">
        <v>2809.95</v>
      </c>
      <c r="F5" s="7">
        <v>6414.11</v>
      </c>
      <c r="G5" s="7">
        <v>0</v>
      </c>
      <c r="H5" s="7">
        <v>349.86</v>
      </c>
      <c r="I5" s="7">
        <v>452.74</v>
      </c>
      <c r="J5" s="7">
        <v>0</v>
      </c>
      <c r="K5" s="7">
        <v>0</v>
      </c>
      <c r="L5" s="7">
        <v>0</v>
      </c>
      <c r="M5" s="7">
        <v>186.58</v>
      </c>
      <c r="N5" s="7">
        <v>816.35</v>
      </c>
      <c r="O5" s="7">
        <v>1607.44</v>
      </c>
      <c r="P5" s="7">
        <v>34</v>
      </c>
      <c r="Q5" s="7"/>
      <c r="R5" s="7">
        <v>2446.2800000000002</v>
      </c>
      <c r="S5" s="8">
        <v>1478.16</v>
      </c>
      <c r="T5" s="9">
        <f t="shared" si="0"/>
        <v>18018.23</v>
      </c>
    </row>
    <row r="6" spans="1:33" s="6" customFormat="1" x14ac:dyDescent="0.25">
      <c r="A6" s="11" t="s">
        <v>10</v>
      </c>
      <c r="B6" s="17">
        <v>44097</v>
      </c>
      <c r="C6" s="5">
        <v>563</v>
      </c>
      <c r="D6" s="19">
        <v>37038.449999999997</v>
      </c>
      <c r="E6" s="19">
        <v>37372.080000000002</v>
      </c>
      <c r="F6" s="19">
        <v>197375.6</v>
      </c>
      <c r="G6" s="19">
        <v>7047</v>
      </c>
      <c r="H6" s="19"/>
      <c r="I6" s="19">
        <v>4406.09</v>
      </c>
      <c r="J6" s="19"/>
      <c r="K6" s="19">
        <v>8610</v>
      </c>
      <c r="L6" s="19">
        <v>333.58</v>
      </c>
      <c r="M6" s="19"/>
      <c r="N6" s="19">
        <v>5632</v>
      </c>
      <c r="O6" s="19" t="s">
        <v>159</v>
      </c>
      <c r="P6" s="19">
        <v>3373</v>
      </c>
      <c r="Q6" s="19">
        <v>42374.32</v>
      </c>
      <c r="R6" s="19">
        <v>68410.48</v>
      </c>
      <c r="S6" s="8">
        <v>41167.379999999997</v>
      </c>
      <c r="T6" s="9">
        <f t="shared" si="0"/>
        <v>453139.98000000004</v>
      </c>
    </row>
    <row r="7" spans="1:33" s="6" customFormat="1" x14ac:dyDescent="0.25">
      <c r="A7" s="11" t="s">
        <v>11</v>
      </c>
      <c r="B7" s="17">
        <v>44088</v>
      </c>
      <c r="C7" s="5">
        <v>36</v>
      </c>
      <c r="D7" s="7">
        <v>992.2</v>
      </c>
      <c r="E7" s="7">
        <v>839.21</v>
      </c>
      <c r="F7" s="7">
        <v>4087.28</v>
      </c>
      <c r="G7" s="7">
        <v>761.9</v>
      </c>
      <c r="H7" s="7">
        <v>699.35</v>
      </c>
      <c r="I7" s="7">
        <v>598.08000000000004</v>
      </c>
      <c r="J7" s="19"/>
      <c r="K7" s="7">
        <v>347.06</v>
      </c>
      <c r="L7" s="7">
        <v>772.75</v>
      </c>
      <c r="M7" s="7">
        <v>163.19999999999999</v>
      </c>
      <c r="N7" s="7"/>
      <c r="O7" s="7">
        <v>1384.08</v>
      </c>
      <c r="P7" s="7">
        <v>272</v>
      </c>
      <c r="Q7" s="7">
        <v>1561.37</v>
      </c>
      <c r="R7" s="7">
        <v>2175.19</v>
      </c>
      <c r="S7" s="8">
        <v>1590.66</v>
      </c>
      <c r="T7" s="9">
        <f t="shared" si="0"/>
        <v>16244.33</v>
      </c>
    </row>
    <row r="8" spans="1:33" s="6" customFormat="1" x14ac:dyDescent="0.25">
      <c r="A8" s="11" t="s">
        <v>155</v>
      </c>
      <c r="B8" s="17">
        <v>44081</v>
      </c>
      <c r="C8" s="5">
        <v>57</v>
      </c>
      <c r="D8" s="7">
        <v>6363.5</v>
      </c>
      <c r="E8" s="7">
        <v>6885.1</v>
      </c>
      <c r="F8" s="7">
        <v>31307.3</v>
      </c>
      <c r="G8" s="7">
        <v>4694.3999999999996</v>
      </c>
      <c r="H8" s="7">
        <v>2868.81</v>
      </c>
      <c r="I8" s="7">
        <v>2608</v>
      </c>
      <c r="J8" s="7"/>
      <c r="K8" s="7"/>
      <c r="L8" s="7">
        <v>2050.02</v>
      </c>
      <c r="M8" s="7">
        <v>1982.1</v>
      </c>
      <c r="N8" s="7"/>
      <c r="O8" s="7">
        <v>8713.14</v>
      </c>
      <c r="P8" s="7">
        <v>448</v>
      </c>
      <c r="Q8" s="7">
        <v>9496.02</v>
      </c>
      <c r="R8" s="7">
        <v>13765.05</v>
      </c>
      <c r="S8" s="8">
        <v>7680.5</v>
      </c>
      <c r="T8" s="9">
        <f t="shared" ref="T8:T13" si="1">SUM(D8:S8)</f>
        <v>98861.94</v>
      </c>
    </row>
    <row r="9" spans="1:33" s="6" customFormat="1" x14ac:dyDescent="0.25">
      <c r="A9" s="11" t="s">
        <v>12</v>
      </c>
      <c r="B9" s="17">
        <v>44081</v>
      </c>
      <c r="C9" s="5">
        <v>83</v>
      </c>
      <c r="D9" s="7">
        <v>7406.95</v>
      </c>
      <c r="E9" s="7">
        <v>8013.88</v>
      </c>
      <c r="F9" s="7">
        <v>36570.93</v>
      </c>
      <c r="G9" s="7">
        <v>5464.08</v>
      </c>
      <c r="H9" s="7">
        <v>3339.19</v>
      </c>
      <c r="I9" s="7">
        <v>3035.15</v>
      </c>
      <c r="J9" s="7"/>
      <c r="K9" s="7"/>
      <c r="L9" s="7">
        <v>2223.79</v>
      </c>
      <c r="M9" s="7"/>
      <c r="N9" s="7"/>
      <c r="O9" s="7">
        <v>9734.65</v>
      </c>
      <c r="P9" s="7">
        <v>683</v>
      </c>
      <c r="Q9" s="7">
        <v>10224.14</v>
      </c>
      <c r="R9" s="7">
        <v>15902.65</v>
      </c>
      <c r="S9" s="8">
        <v>9113.33</v>
      </c>
      <c r="T9" s="9">
        <f t="shared" si="1"/>
        <v>111711.73999999999</v>
      </c>
    </row>
    <row r="10" spans="1:33" s="6" customFormat="1" x14ac:dyDescent="0.25">
      <c r="A10" s="11" t="s">
        <v>13</v>
      </c>
      <c r="B10" s="17">
        <v>44089</v>
      </c>
      <c r="C10" s="5">
        <v>83</v>
      </c>
      <c r="D10" s="19">
        <v>20550.64</v>
      </c>
      <c r="E10" s="19">
        <v>17181.7</v>
      </c>
      <c r="F10" s="19">
        <v>113605.95</v>
      </c>
      <c r="G10" s="19">
        <v>8590.85</v>
      </c>
      <c r="H10" s="19">
        <v>3587.97</v>
      </c>
      <c r="I10" s="19">
        <v>3032.1</v>
      </c>
      <c r="J10" s="19"/>
      <c r="K10" s="19">
        <v>23355.119999999999</v>
      </c>
      <c r="L10" s="19"/>
      <c r="M10" s="19"/>
      <c r="N10" s="19"/>
      <c r="O10" s="19">
        <v>26618.69</v>
      </c>
      <c r="P10" s="19"/>
      <c r="Q10" s="19">
        <v>30741.200000000001</v>
      </c>
      <c r="R10" s="19">
        <v>44653.21</v>
      </c>
      <c r="S10" s="8">
        <v>23309.55</v>
      </c>
      <c r="T10" s="9">
        <f t="shared" si="1"/>
        <v>315226.98</v>
      </c>
    </row>
    <row r="11" spans="1:33" s="6" customFormat="1" x14ac:dyDescent="0.25">
      <c r="A11" s="11" t="s">
        <v>14</v>
      </c>
      <c r="B11" s="17">
        <v>44056</v>
      </c>
      <c r="C11" s="5" t="s">
        <v>154</v>
      </c>
      <c r="D11" s="19">
        <v>6269.05</v>
      </c>
      <c r="E11" s="19">
        <v>6375.93</v>
      </c>
      <c r="F11" s="36">
        <v>16880.63</v>
      </c>
      <c r="G11" s="19">
        <v>4350.01</v>
      </c>
      <c r="H11" s="19">
        <v>2046.78</v>
      </c>
      <c r="I11" s="19">
        <v>1327.11</v>
      </c>
      <c r="J11" s="19"/>
      <c r="K11" s="19"/>
      <c r="L11" s="19"/>
      <c r="M11" s="19">
        <v>279.04000000000002</v>
      </c>
      <c r="N11" s="19"/>
      <c r="O11" s="19">
        <v>4585.38</v>
      </c>
      <c r="P11" s="19">
        <v>102</v>
      </c>
      <c r="Q11" s="19"/>
      <c r="R11" s="19">
        <v>7271.69</v>
      </c>
      <c r="S11" s="8">
        <v>4145.88</v>
      </c>
      <c r="T11" s="9">
        <f t="shared" si="1"/>
        <v>53633.5</v>
      </c>
    </row>
    <row r="12" spans="1:33" s="6" customFormat="1" x14ac:dyDescent="0.25">
      <c r="A12" s="11" t="s">
        <v>152</v>
      </c>
      <c r="B12" s="17">
        <v>44056</v>
      </c>
      <c r="C12" s="5">
        <v>38</v>
      </c>
      <c r="D12" s="19">
        <v>3723.63</v>
      </c>
      <c r="E12" s="19">
        <v>3571.06</v>
      </c>
      <c r="F12" s="36">
        <v>12415.51</v>
      </c>
      <c r="G12" s="19">
        <v>2899.6</v>
      </c>
      <c r="H12" s="19">
        <v>1404</v>
      </c>
      <c r="I12" s="19">
        <v>883.89</v>
      </c>
      <c r="J12" s="19"/>
      <c r="K12" s="19"/>
      <c r="L12" s="19"/>
      <c r="M12" s="19">
        <v>213.69</v>
      </c>
      <c r="N12" s="19"/>
      <c r="O12" s="19">
        <v>3630.11</v>
      </c>
      <c r="P12" s="19">
        <v>908</v>
      </c>
      <c r="Q12" s="19">
        <v>3749.86</v>
      </c>
      <c r="R12" s="19">
        <v>5772.23</v>
      </c>
      <c r="S12" s="8">
        <v>3266.15</v>
      </c>
      <c r="T12" s="9">
        <f t="shared" si="1"/>
        <v>42437.73</v>
      </c>
    </row>
    <row r="13" spans="1:33" s="6" customFormat="1" x14ac:dyDescent="0.25">
      <c r="A13" s="11" t="s">
        <v>153</v>
      </c>
      <c r="B13" s="17">
        <v>44056</v>
      </c>
      <c r="C13" s="5">
        <v>13</v>
      </c>
      <c r="D13" s="19">
        <v>1730.1</v>
      </c>
      <c r="E13" s="19">
        <v>958.04</v>
      </c>
      <c r="F13" s="36">
        <v>2270.8200000000002</v>
      </c>
      <c r="G13" s="19">
        <v>884.82</v>
      </c>
      <c r="H13" s="19">
        <v>376.67</v>
      </c>
      <c r="I13" s="19">
        <v>270.67</v>
      </c>
      <c r="J13" s="19"/>
      <c r="K13" s="19"/>
      <c r="L13" s="19"/>
      <c r="M13" s="19">
        <v>29.08</v>
      </c>
      <c r="N13" s="19"/>
      <c r="O13" s="19">
        <v>956.07</v>
      </c>
      <c r="P13" s="19">
        <v>338</v>
      </c>
      <c r="Q13" s="19">
        <v>977.11</v>
      </c>
      <c r="R13" s="19">
        <v>1525.46</v>
      </c>
      <c r="S13" s="8">
        <v>879.73</v>
      </c>
      <c r="T13" s="9">
        <f t="shared" si="1"/>
        <v>11196.57</v>
      </c>
    </row>
    <row r="14" spans="1:33" s="46" customFormat="1" x14ac:dyDescent="0.25">
      <c r="A14" s="11" t="s">
        <v>15</v>
      </c>
      <c r="B14" s="17">
        <v>44104</v>
      </c>
      <c r="C14" s="5">
        <v>211</v>
      </c>
      <c r="D14" s="19">
        <v>18142.2</v>
      </c>
      <c r="E14" s="19">
        <v>26172.35</v>
      </c>
      <c r="F14" s="19">
        <v>39343.839999999997</v>
      </c>
      <c r="G14" s="19">
        <v>17993.52</v>
      </c>
      <c r="H14" s="19">
        <v>8922.42</v>
      </c>
      <c r="I14" s="19">
        <v>5607.74</v>
      </c>
      <c r="J14" s="19"/>
      <c r="K14" s="19">
        <v>5223.8</v>
      </c>
      <c r="L14" s="19">
        <v>8.9</v>
      </c>
      <c r="M14" s="19">
        <v>743.49</v>
      </c>
      <c r="N14" s="19">
        <v>13978.54</v>
      </c>
      <c r="O14" s="19">
        <v>20573.21</v>
      </c>
      <c r="P14" s="19">
        <v>4557</v>
      </c>
      <c r="Q14" s="19">
        <v>22173.93</v>
      </c>
      <c r="R14" s="19">
        <v>31934.75</v>
      </c>
      <c r="S14" s="8">
        <v>20883.080000000002</v>
      </c>
      <c r="T14" s="9">
        <f>SUM(D14:S14)</f>
        <v>236258.77000000002</v>
      </c>
      <c r="U14" s="6"/>
      <c r="V14" s="6"/>
      <c r="W14" s="6"/>
      <c r="X14" s="6"/>
      <c r="Y14" s="6"/>
      <c r="Z14" s="6"/>
      <c r="AA14" s="6"/>
      <c r="AB14" s="6"/>
      <c r="AC14" s="6"/>
      <c r="AD14" s="6"/>
      <c r="AE14" s="6"/>
      <c r="AF14" s="6"/>
      <c r="AG14" s="6"/>
    </row>
    <row r="15" spans="1:33" s="6" customFormat="1" x14ac:dyDescent="0.25">
      <c r="A15" s="11" t="s">
        <v>16</v>
      </c>
      <c r="B15" s="17">
        <v>44070</v>
      </c>
      <c r="C15" s="5">
        <v>38</v>
      </c>
      <c r="D15" s="19">
        <v>2275.52</v>
      </c>
      <c r="E15" s="19">
        <v>1268.3599999999999</v>
      </c>
      <c r="F15" s="19">
        <v>7716.36</v>
      </c>
      <c r="G15" s="19">
        <v>1473.49</v>
      </c>
      <c r="H15" s="19">
        <v>690.13</v>
      </c>
      <c r="I15" s="19">
        <v>1077.1500000000001</v>
      </c>
      <c r="J15" s="19"/>
      <c r="K15" s="19">
        <v>560.4</v>
      </c>
      <c r="L15" s="19">
        <v>1663.37</v>
      </c>
      <c r="M15" s="19">
        <v>186.52</v>
      </c>
      <c r="N15" s="19"/>
      <c r="O15" s="19">
        <v>2488.1</v>
      </c>
      <c r="P15" s="19">
        <v>456</v>
      </c>
      <c r="Q15" s="19">
        <v>2534.7399999999998</v>
      </c>
      <c r="R15" s="19">
        <v>3889.23</v>
      </c>
      <c r="S15" s="8">
        <v>2514.58</v>
      </c>
      <c r="T15" s="9">
        <f t="shared" ref="T15:T20" si="2">SUM(D15:S15)</f>
        <v>28793.949999999997</v>
      </c>
    </row>
    <row r="16" spans="1:33" s="6" customFormat="1" x14ac:dyDescent="0.25">
      <c r="A16" s="11" t="s">
        <v>17</v>
      </c>
      <c r="B16" s="17">
        <v>44111</v>
      </c>
      <c r="C16" s="5">
        <v>17</v>
      </c>
      <c r="D16" s="19">
        <v>886.21</v>
      </c>
      <c r="E16" s="19">
        <v>2832.96</v>
      </c>
      <c r="F16" s="19">
        <v>3214.96</v>
      </c>
      <c r="G16" s="19">
        <v>668.29</v>
      </c>
      <c r="H16" s="19">
        <v>530.29</v>
      </c>
      <c r="I16" s="19">
        <v>453.29</v>
      </c>
      <c r="J16" s="19"/>
      <c r="K16" s="19"/>
      <c r="L16" s="19">
        <v>31.5</v>
      </c>
      <c r="M16" s="19">
        <v>170.72</v>
      </c>
      <c r="N16" s="19">
        <v>690.1</v>
      </c>
      <c r="O16" s="19">
        <v>1406.07</v>
      </c>
      <c r="P16" s="19">
        <v>15</v>
      </c>
      <c r="Q16" s="19">
        <v>1619.05</v>
      </c>
      <c r="R16" s="19">
        <v>2172.84</v>
      </c>
      <c r="S16" s="8">
        <v>1341.43</v>
      </c>
      <c r="T16" s="37">
        <f t="shared" si="2"/>
        <v>16032.71</v>
      </c>
    </row>
    <row r="17" spans="1:34" s="6" customFormat="1" x14ac:dyDescent="0.25">
      <c r="A17" s="11" t="s">
        <v>18</v>
      </c>
      <c r="B17" s="17">
        <v>44124</v>
      </c>
      <c r="C17" s="5">
        <v>10</v>
      </c>
      <c r="D17" s="19">
        <v>97.72</v>
      </c>
      <c r="E17" s="19">
        <v>116.29</v>
      </c>
      <c r="F17" s="19">
        <v>476.51</v>
      </c>
      <c r="G17" s="19">
        <v>116.29</v>
      </c>
      <c r="H17" s="19">
        <v>60.8</v>
      </c>
      <c r="I17" s="19">
        <v>114.75</v>
      </c>
      <c r="J17" s="19"/>
      <c r="K17" s="19"/>
      <c r="L17" s="19">
        <v>0.5</v>
      </c>
      <c r="M17" s="19">
        <v>19.010000000000002</v>
      </c>
      <c r="N17" s="19"/>
      <c r="O17" s="19">
        <v>149.68</v>
      </c>
      <c r="P17" s="19">
        <v>50</v>
      </c>
      <c r="Q17" s="19">
        <v>186.93</v>
      </c>
      <c r="R17" s="19">
        <v>236.76</v>
      </c>
      <c r="S17" s="8">
        <v>268.36</v>
      </c>
      <c r="T17" s="9">
        <f t="shared" si="2"/>
        <v>1893.6</v>
      </c>
    </row>
    <row r="18" spans="1:34" s="6" customFormat="1" x14ac:dyDescent="0.25">
      <c r="A18" s="11" t="s">
        <v>19</v>
      </c>
      <c r="B18" s="17">
        <v>44067</v>
      </c>
      <c r="C18" s="5">
        <v>40</v>
      </c>
      <c r="D18" s="7">
        <v>2178.58</v>
      </c>
      <c r="E18" s="7">
        <v>2225.9899999999998</v>
      </c>
      <c r="F18" s="7">
        <v>10129.61</v>
      </c>
      <c r="G18" s="7">
        <v>1517.89</v>
      </c>
      <c r="H18" s="7">
        <v>553.6</v>
      </c>
      <c r="I18" s="7">
        <v>813.27</v>
      </c>
      <c r="J18" s="7"/>
      <c r="K18" s="7">
        <v>1627.88</v>
      </c>
      <c r="L18" s="7">
        <v>314.77999999999997</v>
      </c>
      <c r="M18" s="7">
        <v>178.62</v>
      </c>
      <c r="N18" s="7"/>
      <c r="O18" s="7">
        <v>2583.4699999999998</v>
      </c>
      <c r="P18" s="7"/>
      <c r="Q18" s="7"/>
      <c r="R18" s="7">
        <v>3948.02</v>
      </c>
      <c r="S18" s="8">
        <v>2814.07</v>
      </c>
      <c r="T18" s="9">
        <f t="shared" si="2"/>
        <v>28885.78</v>
      </c>
    </row>
    <row r="19" spans="1:34" s="6" customFormat="1" x14ac:dyDescent="0.25">
      <c r="A19" s="11" t="s">
        <v>20</v>
      </c>
      <c r="B19" s="17">
        <v>44084</v>
      </c>
      <c r="C19" s="5">
        <v>147</v>
      </c>
      <c r="D19" s="19">
        <v>18931.89</v>
      </c>
      <c r="E19" s="19">
        <v>14592.84</v>
      </c>
      <c r="F19" s="19">
        <v>111089.54</v>
      </c>
      <c r="G19" s="19">
        <v>9944.36</v>
      </c>
      <c r="H19" s="19">
        <v>3724.35</v>
      </c>
      <c r="I19" s="19">
        <v>1449.62</v>
      </c>
      <c r="J19" s="19"/>
      <c r="K19" s="19">
        <v>12574.45</v>
      </c>
      <c r="L19" s="19"/>
      <c r="M19" s="19">
        <v>2447.4299999999998</v>
      </c>
      <c r="N19" s="19"/>
      <c r="O19" s="19">
        <v>24203.599999999999</v>
      </c>
      <c r="P19" s="19">
        <v>1911</v>
      </c>
      <c r="Q19" s="19">
        <v>29295.55</v>
      </c>
      <c r="R19" s="19">
        <v>40709.11</v>
      </c>
      <c r="S19" s="8">
        <v>22415.51</v>
      </c>
      <c r="T19" s="9">
        <f t="shared" si="2"/>
        <v>293289.25</v>
      </c>
    </row>
    <row r="20" spans="1:34" s="6" customFormat="1" x14ac:dyDescent="0.25">
      <c r="A20" s="11" t="s">
        <v>21</v>
      </c>
      <c r="B20" s="17">
        <v>44088</v>
      </c>
      <c r="C20" s="5">
        <v>36</v>
      </c>
      <c r="D20" s="19">
        <v>1120.6600000000001</v>
      </c>
      <c r="E20" s="19">
        <v>724.37</v>
      </c>
      <c r="F20" s="19">
        <v>3818.5</v>
      </c>
      <c r="G20" s="19">
        <v>652.12</v>
      </c>
      <c r="H20" s="19">
        <v>235.63</v>
      </c>
      <c r="I20" s="19">
        <v>647.64</v>
      </c>
      <c r="J20" s="19"/>
      <c r="K20" s="19">
        <v>2221.33</v>
      </c>
      <c r="L20" s="19">
        <v>0.88</v>
      </c>
      <c r="M20" s="19">
        <v>125.69</v>
      </c>
      <c r="N20" s="19">
        <v>788.82</v>
      </c>
      <c r="O20" s="19">
        <v>1398.58</v>
      </c>
      <c r="P20" s="19"/>
      <c r="Q20" s="19">
        <v>1447</v>
      </c>
      <c r="R20" s="19">
        <v>2168.7399999999998</v>
      </c>
      <c r="S20" s="8">
        <v>1402.89</v>
      </c>
      <c r="T20" s="9">
        <f t="shared" si="2"/>
        <v>16752.849999999999</v>
      </c>
    </row>
    <row r="21" spans="1:34" s="46" customFormat="1" x14ac:dyDescent="0.25">
      <c r="A21" s="11" t="s">
        <v>22</v>
      </c>
      <c r="B21" s="17">
        <v>44084</v>
      </c>
      <c r="C21" s="5">
        <v>29</v>
      </c>
      <c r="D21" s="19">
        <v>1687.04</v>
      </c>
      <c r="E21" s="19">
        <v>1355.17</v>
      </c>
      <c r="F21" s="19">
        <v>6167.37</v>
      </c>
      <c r="G21" s="19">
        <v>802.04</v>
      </c>
      <c r="H21" s="19">
        <v>691.42</v>
      </c>
      <c r="I21" s="19">
        <v>611.51</v>
      </c>
      <c r="J21" s="19">
        <v>0</v>
      </c>
      <c r="K21" s="19">
        <v>332.32</v>
      </c>
      <c r="L21" s="19">
        <v>285.60000000000002</v>
      </c>
      <c r="M21" s="19">
        <v>28.55</v>
      </c>
      <c r="N21" s="19">
        <v>0</v>
      </c>
      <c r="O21" s="19">
        <v>1737.18</v>
      </c>
      <c r="P21" s="19">
        <v>232</v>
      </c>
      <c r="Q21" s="19">
        <v>1902.11</v>
      </c>
      <c r="R21" s="19">
        <v>2703.59</v>
      </c>
      <c r="S21" s="8">
        <v>1351.82</v>
      </c>
      <c r="T21" s="9">
        <f>SUM(D21:S21)</f>
        <v>19887.72</v>
      </c>
      <c r="U21" s="6"/>
      <c r="V21" s="6"/>
      <c r="W21" s="6"/>
      <c r="X21" s="6"/>
      <c r="Y21" s="6"/>
      <c r="Z21" s="6"/>
      <c r="AA21" s="6"/>
      <c r="AB21" s="6"/>
      <c r="AC21" s="6"/>
      <c r="AD21" s="6"/>
      <c r="AE21" s="6"/>
      <c r="AF21" s="6"/>
      <c r="AG21" s="6"/>
      <c r="AH21" s="6"/>
    </row>
    <row r="22" spans="1:34" s="6" customFormat="1" x14ac:dyDescent="0.25">
      <c r="A22" s="11" t="s">
        <v>23</v>
      </c>
      <c r="B22" s="17">
        <v>44061</v>
      </c>
      <c r="C22" s="5">
        <v>114</v>
      </c>
      <c r="D22" s="19">
        <v>7001.27</v>
      </c>
      <c r="E22" s="19">
        <v>7747.48</v>
      </c>
      <c r="F22" s="19">
        <v>18039.14</v>
      </c>
      <c r="G22" s="19">
        <v>3328.53</v>
      </c>
      <c r="H22" s="19">
        <v>1606.9</v>
      </c>
      <c r="I22" s="19">
        <v>913.65</v>
      </c>
      <c r="J22" s="19"/>
      <c r="K22" s="19">
        <v>2935.91</v>
      </c>
      <c r="L22" s="19">
        <v>3.8</v>
      </c>
      <c r="M22" s="19">
        <v>287.08999999999997</v>
      </c>
      <c r="N22" s="19"/>
      <c r="O22" s="19">
        <v>6209.09</v>
      </c>
      <c r="P22" s="19">
        <v>1482</v>
      </c>
      <c r="Q22" s="19">
        <v>6269.1</v>
      </c>
      <c r="R22" s="19">
        <v>9839.17</v>
      </c>
      <c r="S22" s="8">
        <v>5945.56</v>
      </c>
      <c r="T22" s="9">
        <f t="shared" ref="T22:T27" si="3">SUM(D22:S22)</f>
        <v>71608.69</v>
      </c>
    </row>
    <row r="23" spans="1:34" s="6" customFormat="1" x14ac:dyDescent="0.25">
      <c r="A23" s="11" t="s">
        <v>149</v>
      </c>
      <c r="B23" s="17">
        <v>44061</v>
      </c>
      <c r="C23" s="5">
        <v>12</v>
      </c>
      <c r="D23" s="19">
        <v>788.55</v>
      </c>
      <c r="E23" s="19">
        <v>838.71</v>
      </c>
      <c r="F23" s="19">
        <v>466.56</v>
      </c>
      <c r="G23" s="19">
        <v>360.77</v>
      </c>
      <c r="H23" s="19">
        <v>173.62</v>
      </c>
      <c r="I23" s="19">
        <v>97.18</v>
      </c>
      <c r="J23" s="19"/>
      <c r="K23" s="19">
        <v>87.79</v>
      </c>
      <c r="L23" s="19"/>
      <c r="M23" s="19">
        <v>30.51</v>
      </c>
      <c r="N23" s="19"/>
      <c r="O23" s="19">
        <v>378.35</v>
      </c>
      <c r="P23" s="19">
        <v>140.13</v>
      </c>
      <c r="Q23" s="19"/>
      <c r="R23" s="19">
        <v>591.16</v>
      </c>
      <c r="S23" s="8">
        <v>394.67</v>
      </c>
      <c r="T23" s="9">
        <f t="shared" si="3"/>
        <v>4348</v>
      </c>
    </row>
    <row r="24" spans="1:34" s="6" customFormat="1" x14ac:dyDescent="0.25">
      <c r="A24" s="11" t="s">
        <v>150</v>
      </c>
      <c r="B24" s="17">
        <v>44061</v>
      </c>
      <c r="C24" s="5">
        <v>18</v>
      </c>
      <c r="D24" s="19">
        <v>1603.78</v>
      </c>
      <c r="E24" s="19">
        <v>1799.76</v>
      </c>
      <c r="F24" s="19">
        <v>5057.63</v>
      </c>
      <c r="G24" s="19">
        <v>772.88</v>
      </c>
      <c r="H24" s="19">
        <v>374.27</v>
      </c>
      <c r="I24" s="19">
        <v>212.85</v>
      </c>
      <c r="J24" s="19"/>
      <c r="K24" s="19">
        <v>1145.74</v>
      </c>
      <c r="L24" s="19"/>
      <c r="M24" s="19">
        <v>78.319999999999993</v>
      </c>
      <c r="N24" s="19"/>
      <c r="O24" s="19">
        <v>1546.59</v>
      </c>
      <c r="P24" s="19">
        <v>209</v>
      </c>
      <c r="Q24" s="19">
        <v>1869.3</v>
      </c>
      <c r="R24" s="19">
        <v>2503.61</v>
      </c>
      <c r="S24" s="8">
        <v>1252.76</v>
      </c>
      <c r="T24" s="9">
        <f t="shared" si="3"/>
        <v>18426.489999999998</v>
      </c>
    </row>
    <row r="25" spans="1:34" s="6" customFormat="1" x14ac:dyDescent="0.25">
      <c r="A25" s="11" t="s">
        <v>24</v>
      </c>
      <c r="B25" s="17">
        <v>44056</v>
      </c>
      <c r="C25" s="5">
        <v>131</v>
      </c>
      <c r="D25" s="19">
        <v>17274.93</v>
      </c>
      <c r="E25" s="19">
        <v>25204.42</v>
      </c>
      <c r="F25" s="19">
        <v>52077.81</v>
      </c>
      <c r="G25" s="19">
        <v>10619.81</v>
      </c>
      <c r="H25" s="19">
        <v>3723.99</v>
      </c>
      <c r="I25" s="19">
        <v>3539.98</v>
      </c>
      <c r="J25" s="19"/>
      <c r="K25" s="19">
        <v>4669.54</v>
      </c>
      <c r="L25" s="19"/>
      <c r="M25" s="19">
        <v>424.81</v>
      </c>
      <c r="N25" s="19"/>
      <c r="O25" s="19">
        <v>16681.419999999998</v>
      </c>
      <c r="P25" s="19">
        <v>3930</v>
      </c>
      <c r="Q25" s="19">
        <v>17592.310000000001</v>
      </c>
      <c r="R25" s="19">
        <v>27287.57</v>
      </c>
      <c r="S25" s="8">
        <v>15477.71</v>
      </c>
      <c r="T25" s="9">
        <f t="shared" si="3"/>
        <v>198504.3</v>
      </c>
    </row>
    <row r="26" spans="1:34" s="6" customFormat="1" x14ac:dyDescent="0.25">
      <c r="A26" s="11" t="s">
        <v>156</v>
      </c>
      <c r="B26" s="17">
        <v>44056</v>
      </c>
      <c r="C26" s="5">
        <v>13</v>
      </c>
      <c r="D26" s="7">
        <v>1016.72</v>
      </c>
      <c r="E26" s="7">
        <v>1483.42</v>
      </c>
      <c r="F26" s="7">
        <v>5436.77</v>
      </c>
      <c r="G26" s="7">
        <v>625.04</v>
      </c>
      <c r="H26" s="7">
        <v>219.17</v>
      </c>
      <c r="I26" s="7">
        <v>208.34</v>
      </c>
      <c r="J26" s="7"/>
      <c r="K26" s="7">
        <v>239.3</v>
      </c>
      <c r="L26" s="7"/>
      <c r="M26" s="7">
        <v>25.01</v>
      </c>
      <c r="N26" s="7"/>
      <c r="O26" s="7">
        <v>1277.49</v>
      </c>
      <c r="P26" s="7">
        <v>390</v>
      </c>
      <c r="Q26" s="7">
        <v>1383.68</v>
      </c>
      <c r="R26" s="7">
        <v>2153.52</v>
      </c>
      <c r="S26" s="8">
        <v>1258.73</v>
      </c>
      <c r="T26" s="9">
        <f t="shared" si="3"/>
        <v>15717.19</v>
      </c>
    </row>
    <row r="27" spans="1:34" s="6" customFormat="1" x14ac:dyDescent="0.25">
      <c r="A27" s="11" t="s">
        <v>25</v>
      </c>
      <c r="B27" s="17">
        <v>44077</v>
      </c>
      <c r="C27" s="5">
        <v>1</v>
      </c>
      <c r="D27" s="7">
        <v>8.5399999999999991</v>
      </c>
      <c r="E27" s="7">
        <v>14.21</v>
      </c>
      <c r="F27" s="7">
        <v>39.409999999999997</v>
      </c>
      <c r="G27" s="7"/>
      <c r="H27" s="7">
        <v>2.2400000000000002</v>
      </c>
      <c r="I27" s="7">
        <v>5.61</v>
      </c>
      <c r="J27" s="7"/>
      <c r="K27" s="7"/>
      <c r="L27" s="7">
        <v>4.6900000000000004</v>
      </c>
      <c r="M27" s="7">
        <v>1.4</v>
      </c>
      <c r="N27" s="7">
        <v>6.09</v>
      </c>
      <c r="O27" s="7">
        <v>12.76</v>
      </c>
      <c r="P27" s="7"/>
      <c r="Q27" s="7">
        <v>13.38</v>
      </c>
      <c r="R27" s="7">
        <v>45.11</v>
      </c>
      <c r="S27" s="8">
        <v>24.56</v>
      </c>
      <c r="T27" s="9">
        <f t="shared" si="3"/>
        <v>178</v>
      </c>
      <c r="U27" s="8"/>
    </row>
    <row r="28" spans="1:34" s="6" customFormat="1" x14ac:dyDescent="0.25">
      <c r="A28" s="11" t="s">
        <v>26</v>
      </c>
      <c r="B28" s="17">
        <v>44064</v>
      </c>
      <c r="C28" s="5">
        <v>22</v>
      </c>
      <c r="D28" s="7">
        <v>4342.84</v>
      </c>
      <c r="E28" s="7">
        <v>1139.1199999999999</v>
      </c>
      <c r="F28" s="7">
        <v>21358.799999999999</v>
      </c>
      <c r="G28" s="7">
        <v>4093.79</v>
      </c>
      <c r="H28" s="7">
        <v>1922.3</v>
      </c>
      <c r="I28" s="7">
        <v>1752.84</v>
      </c>
      <c r="J28" s="7"/>
      <c r="K28" s="7">
        <v>1888.6</v>
      </c>
      <c r="L28" s="7">
        <v>2298.9</v>
      </c>
      <c r="M28" s="7"/>
      <c r="N28" s="7"/>
      <c r="O28" s="7">
        <v>5720.37</v>
      </c>
      <c r="P28" s="7">
        <v>396</v>
      </c>
      <c r="Q28" s="7">
        <v>5815.78</v>
      </c>
      <c r="R28" s="7">
        <v>8922.7800000000007</v>
      </c>
      <c r="S28" s="8">
        <v>4791.3999999999996</v>
      </c>
      <c r="T28" s="9">
        <v>64444.5</v>
      </c>
    </row>
    <row r="29" spans="1:34" s="6" customFormat="1" x14ac:dyDescent="0.25">
      <c r="A29" s="11" t="s">
        <v>27</v>
      </c>
      <c r="B29" s="17">
        <v>44071</v>
      </c>
      <c r="C29" s="5">
        <v>78</v>
      </c>
      <c r="D29" s="19">
        <v>5494.44</v>
      </c>
      <c r="E29" s="19">
        <v>4336.78</v>
      </c>
      <c r="F29" s="19">
        <v>21662.11</v>
      </c>
      <c r="G29" s="19">
        <v>0</v>
      </c>
      <c r="H29" s="19">
        <v>2701.62</v>
      </c>
      <c r="I29" s="19">
        <v>2156.73</v>
      </c>
      <c r="J29" s="19"/>
      <c r="K29" s="19">
        <v>44.96</v>
      </c>
      <c r="L29" s="19">
        <v>160</v>
      </c>
      <c r="M29" s="19"/>
      <c r="N29" s="19">
        <v>4323.47</v>
      </c>
      <c r="O29" s="19">
        <v>5345.42</v>
      </c>
      <c r="P29" s="19"/>
      <c r="Q29" s="19"/>
      <c r="R29" s="19">
        <v>7941.8</v>
      </c>
      <c r="S29" s="8">
        <v>5170.99</v>
      </c>
      <c r="T29" s="9">
        <f>SUM(D29:S29)</f>
        <v>59338.320000000007</v>
      </c>
    </row>
    <row r="30" spans="1:34" s="6" customFormat="1" x14ac:dyDescent="0.25">
      <c r="A30" s="11" t="s">
        <v>28</v>
      </c>
      <c r="B30" s="17">
        <v>44067</v>
      </c>
      <c r="C30" s="5">
        <v>22</v>
      </c>
      <c r="D30" s="19">
        <v>980.7</v>
      </c>
      <c r="E30" s="19">
        <v>646.42999999999995</v>
      </c>
      <c r="F30" s="19">
        <v>4061.4</v>
      </c>
      <c r="G30" s="19">
        <v>760.02</v>
      </c>
      <c r="H30" s="19">
        <v>345.68</v>
      </c>
      <c r="I30" s="19">
        <v>160.02000000000001</v>
      </c>
      <c r="J30" s="19">
        <v>505.03</v>
      </c>
      <c r="K30" s="19">
        <v>11.04</v>
      </c>
      <c r="L30" s="19"/>
      <c r="M30" s="19">
        <v>196.05</v>
      </c>
      <c r="N30" s="19">
        <v>482.32</v>
      </c>
      <c r="O30" s="19">
        <v>1248.96</v>
      </c>
      <c r="P30" s="19">
        <v>223.18</v>
      </c>
      <c r="Q30" s="19">
        <v>1493.35</v>
      </c>
      <c r="R30" s="19">
        <v>1918.26</v>
      </c>
      <c r="S30" s="8">
        <v>1176.96</v>
      </c>
      <c r="T30" s="9">
        <f>SUM(D30:S30)</f>
        <v>14209.400000000001</v>
      </c>
    </row>
    <row r="31" spans="1:34" s="6" customFormat="1" x14ac:dyDescent="0.25">
      <c r="A31" s="11" t="s">
        <v>29</v>
      </c>
      <c r="B31" s="17">
        <v>44083</v>
      </c>
      <c r="C31" s="5">
        <v>152</v>
      </c>
      <c r="D31" s="19">
        <v>15120.15</v>
      </c>
      <c r="E31" s="19">
        <v>23176.01</v>
      </c>
      <c r="F31" s="19">
        <v>53044.55</v>
      </c>
      <c r="G31" s="19"/>
      <c r="H31" s="19">
        <v>4648.92</v>
      </c>
      <c r="I31" s="19">
        <v>2974.51</v>
      </c>
      <c r="J31" s="19"/>
      <c r="K31" s="19">
        <v>3614.59</v>
      </c>
      <c r="L31" s="19"/>
      <c r="M31" s="19">
        <v>495.77</v>
      </c>
      <c r="N31" s="19"/>
      <c r="O31" s="19">
        <v>14966.64</v>
      </c>
      <c r="P31" s="19"/>
      <c r="Q31" s="19">
        <v>17727.32</v>
      </c>
      <c r="R31" s="19">
        <v>24408.02</v>
      </c>
      <c r="S31" s="8">
        <v>14445.21</v>
      </c>
      <c r="T31" s="9">
        <f>SUM(D31:S31)</f>
        <v>174621.68999999997</v>
      </c>
    </row>
    <row r="32" spans="1:34" s="6" customFormat="1" x14ac:dyDescent="0.25">
      <c r="A32" s="11" t="s">
        <v>30</v>
      </c>
      <c r="B32" s="17">
        <v>44071</v>
      </c>
      <c r="C32" s="5">
        <v>78</v>
      </c>
      <c r="D32" s="7">
        <v>8377.1</v>
      </c>
      <c r="E32" s="7">
        <v>6179.85</v>
      </c>
      <c r="F32" s="7">
        <v>43739.62</v>
      </c>
      <c r="G32" s="7">
        <v>4844.68</v>
      </c>
      <c r="H32" s="7">
        <v>3592.27</v>
      </c>
      <c r="I32" s="7">
        <v>2515.3200000000002</v>
      </c>
      <c r="J32" s="7">
        <v>0</v>
      </c>
      <c r="K32" s="7">
        <v>0</v>
      </c>
      <c r="L32" s="7">
        <v>0</v>
      </c>
      <c r="M32" s="7">
        <v>0</v>
      </c>
      <c r="N32" s="7">
        <v>0</v>
      </c>
      <c r="O32" s="7">
        <v>9684.7800000000007</v>
      </c>
      <c r="P32" s="7">
        <v>780</v>
      </c>
      <c r="Q32" s="7">
        <v>10168.44</v>
      </c>
      <c r="R32" s="7">
        <v>15774.52</v>
      </c>
      <c r="S32" s="8">
        <v>8979.2000000000007</v>
      </c>
      <c r="T32" s="9">
        <f>SUM(D32:S32)</f>
        <v>114635.78000000001</v>
      </c>
    </row>
    <row r="33" spans="1:30" s="46" customFormat="1" x14ac:dyDescent="0.25">
      <c r="A33" s="11" t="s">
        <v>31</v>
      </c>
      <c r="B33" s="17">
        <v>44103</v>
      </c>
      <c r="C33" s="5">
        <v>48</v>
      </c>
      <c r="D33" s="19">
        <v>3382.4</v>
      </c>
      <c r="E33" s="19">
        <v>3549.69</v>
      </c>
      <c r="F33" s="19">
        <v>18187.599999999999</v>
      </c>
      <c r="G33" s="19">
        <v>3271.6</v>
      </c>
      <c r="H33" s="19">
        <v>1940.75</v>
      </c>
      <c r="I33" s="19">
        <v>2362.7199999999998</v>
      </c>
      <c r="J33" s="19"/>
      <c r="K33" s="19">
        <v>46.84</v>
      </c>
      <c r="L33" s="19"/>
      <c r="M33" s="19">
        <v>443.58</v>
      </c>
      <c r="N33" s="19"/>
      <c r="O33" s="19">
        <v>4314.5</v>
      </c>
      <c r="P33" s="19">
        <v>47.8</v>
      </c>
      <c r="Q33" s="19"/>
      <c r="R33" s="19">
        <v>6464.97</v>
      </c>
      <c r="S33" s="8">
        <v>3949.45</v>
      </c>
      <c r="T33" s="9">
        <f>SUM(D33:S33)</f>
        <v>47961.9</v>
      </c>
      <c r="U33" s="6"/>
      <c r="V33" s="6"/>
      <c r="W33" s="6"/>
      <c r="X33" s="6"/>
      <c r="Y33" s="6"/>
      <c r="Z33" s="6"/>
    </row>
    <row r="34" spans="1:30" s="6" customFormat="1" x14ac:dyDescent="0.25">
      <c r="A34" s="11" t="s">
        <v>32</v>
      </c>
      <c r="B34" s="17">
        <v>44082</v>
      </c>
      <c r="C34" s="5">
        <v>16</v>
      </c>
      <c r="D34" s="19">
        <v>1962.72</v>
      </c>
      <c r="E34" s="19">
        <v>1045.72</v>
      </c>
      <c r="F34" s="19">
        <v>7303.9</v>
      </c>
      <c r="G34" s="19">
        <v>772.22</v>
      </c>
      <c r="H34" s="19">
        <v>563.09</v>
      </c>
      <c r="I34" s="19">
        <v>1377.76</v>
      </c>
      <c r="J34" s="19"/>
      <c r="K34" s="19">
        <v>14.37</v>
      </c>
      <c r="L34" s="19"/>
      <c r="M34" s="19">
        <v>292.81</v>
      </c>
      <c r="N34" s="19"/>
      <c r="O34" s="19">
        <v>1779.92</v>
      </c>
      <c r="P34" s="19">
        <v>32</v>
      </c>
      <c r="Q34" s="19"/>
      <c r="R34" s="19">
        <v>2666.52</v>
      </c>
      <c r="S34" s="8">
        <v>1493.27</v>
      </c>
      <c r="T34" s="9">
        <f t="shared" ref="T34:T43" si="4">SUM(D34:S34)</f>
        <v>19304.3</v>
      </c>
    </row>
    <row r="35" spans="1:30" s="6" customFormat="1" x14ac:dyDescent="0.25">
      <c r="A35" s="11" t="s">
        <v>33</v>
      </c>
      <c r="B35" s="17">
        <v>44082</v>
      </c>
      <c r="C35" s="5">
        <v>23</v>
      </c>
      <c r="D35" s="19">
        <v>1784.92</v>
      </c>
      <c r="E35" s="19">
        <v>1849.79</v>
      </c>
      <c r="F35" s="19">
        <v>7110.44</v>
      </c>
      <c r="G35" s="19">
        <v>731.53</v>
      </c>
      <c r="H35" s="19">
        <v>438.92</v>
      </c>
      <c r="I35" s="19">
        <v>545.76</v>
      </c>
      <c r="J35" s="19">
        <v>0</v>
      </c>
      <c r="K35" s="19">
        <v>5.51</v>
      </c>
      <c r="L35" s="19"/>
      <c r="M35" s="19">
        <v>523.22</v>
      </c>
      <c r="N35" s="19"/>
      <c r="O35" s="19">
        <v>1707.17</v>
      </c>
      <c r="P35" s="19"/>
      <c r="Q35" s="19"/>
      <c r="R35" s="19">
        <v>2616.4</v>
      </c>
      <c r="S35" s="8">
        <v>1630.23</v>
      </c>
      <c r="T35" s="9">
        <f t="shared" si="4"/>
        <v>18943.89</v>
      </c>
    </row>
    <row r="36" spans="1:30" s="27" customFormat="1" x14ac:dyDescent="0.25">
      <c r="A36" s="23" t="s">
        <v>34</v>
      </c>
      <c r="B36" s="24">
        <v>44082</v>
      </c>
      <c r="C36" s="5">
        <v>38</v>
      </c>
      <c r="D36" s="25">
        <v>1954.21</v>
      </c>
      <c r="E36" s="25">
        <v>976.76</v>
      </c>
      <c r="F36" s="25">
        <v>6599.48</v>
      </c>
      <c r="G36" s="25">
        <v>1185.3399999999999</v>
      </c>
      <c r="H36" s="25">
        <v>560.65</v>
      </c>
      <c r="I36" s="25">
        <v>1015.94</v>
      </c>
      <c r="J36" s="25"/>
      <c r="K36" s="25">
        <v>23.51</v>
      </c>
      <c r="L36" s="25"/>
      <c r="M36" s="25">
        <v>384.43</v>
      </c>
      <c r="N36" s="25">
        <v>929.06</v>
      </c>
      <c r="O36" s="25">
        <v>1778.57</v>
      </c>
      <c r="P36" s="25"/>
      <c r="Q36" s="25"/>
      <c r="R36" s="25">
        <v>2741.07</v>
      </c>
      <c r="S36" s="26">
        <v>1902.53</v>
      </c>
      <c r="T36" s="9">
        <f t="shared" si="4"/>
        <v>20051.55</v>
      </c>
    </row>
    <row r="37" spans="1:30" s="6" customFormat="1" x14ac:dyDescent="0.25">
      <c r="A37" s="11" t="s">
        <v>35</v>
      </c>
      <c r="B37" s="17">
        <v>44089</v>
      </c>
      <c r="C37" s="5">
        <v>104</v>
      </c>
      <c r="D37" s="19">
        <v>10318.030000000001</v>
      </c>
      <c r="E37" s="19">
        <v>11417.53</v>
      </c>
      <c r="F37" s="19">
        <v>36395.14</v>
      </c>
      <c r="G37" s="19">
        <v>5328.19</v>
      </c>
      <c r="H37" s="19">
        <v>3382.96</v>
      </c>
      <c r="I37" s="19">
        <v>726.52</v>
      </c>
      <c r="J37" s="19"/>
      <c r="K37" s="19">
        <v>1210</v>
      </c>
      <c r="L37" s="19">
        <v>219.28</v>
      </c>
      <c r="M37" s="19"/>
      <c r="N37" s="19"/>
      <c r="O37" s="19">
        <v>9677.7800000000007</v>
      </c>
      <c r="P37" s="19">
        <v>2176.7199999999998</v>
      </c>
      <c r="Q37" s="19">
        <v>11178.45</v>
      </c>
      <c r="R37" s="19">
        <v>16243.17</v>
      </c>
      <c r="S37" s="8">
        <v>9577.61</v>
      </c>
      <c r="T37" s="9">
        <f t="shared" si="4"/>
        <v>117851.38</v>
      </c>
    </row>
    <row r="38" spans="1:30" s="6" customFormat="1" x14ac:dyDescent="0.25">
      <c r="A38" s="11" t="s">
        <v>36</v>
      </c>
      <c r="B38" s="17">
        <v>44089</v>
      </c>
      <c r="C38" s="5">
        <v>58</v>
      </c>
      <c r="D38" s="19">
        <v>4359.25</v>
      </c>
      <c r="E38" s="19">
        <v>4961.9399999999996</v>
      </c>
      <c r="F38" s="19">
        <v>16286.64</v>
      </c>
      <c r="G38" s="19">
        <v>2664.93</v>
      </c>
      <c r="H38" s="19">
        <v>759.3</v>
      </c>
      <c r="I38" s="19">
        <v>606</v>
      </c>
      <c r="J38" s="19"/>
      <c r="K38" s="19">
        <v>1833.63</v>
      </c>
      <c r="L38" s="19"/>
      <c r="M38" s="19">
        <v>352.26</v>
      </c>
      <c r="N38" s="19">
        <v>2911.14</v>
      </c>
      <c r="O38" s="19">
        <v>5288.83</v>
      </c>
      <c r="P38" s="19"/>
      <c r="Q38" s="19">
        <v>7390.24</v>
      </c>
      <c r="R38" s="19">
        <v>8486.0499999999993</v>
      </c>
      <c r="S38" s="8">
        <v>4872.5200000000004</v>
      </c>
      <c r="T38" s="9">
        <f t="shared" si="4"/>
        <v>60772.729999999996</v>
      </c>
    </row>
    <row r="39" spans="1:30" s="6" customFormat="1" x14ac:dyDescent="0.25">
      <c r="A39" s="11" t="s">
        <v>37</v>
      </c>
      <c r="B39" s="17">
        <v>44084</v>
      </c>
      <c r="C39" s="5">
        <v>233</v>
      </c>
      <c r="D39" s="19">
        <v>7196.03</v>
      </c>
      <c r="E39" s="19">
        <v>6167.66</v>
      </c>
      <c r="F39" s="19">
        <v>24440.67</v>
      </c>
      <c r="G39" s="19"/>
      <c r="H39" s="19">
        <v>4568.6400000000003</v>
      </c>
      <c r="I39" s="19">
        <v>4230.53</v>
      </c>
      <c r="J39" s="19"/>
      <c r="K39" s="19"/>
      <c r="L39" s="19">
        <v>97.49</v>
      </c>
      <c r="M39" s="19">
        <v>3451.78</v>
      </c>
      <c r="N39" s="19">
        <v>5196.7700000000004</v>
      </c>
      <c r="O39" s="19">
        <v>8416.48</v>
      </c>
      <c r="P39" s="19">
        <v>819.36</v>
      </c>
      <c r="Q39" s="19">
        <v>8589.6299999999992</v>
      </c>
      <c r="R39" s="19">
        <v>12607.03</v>
      </c>
      <c r="S39" s="8">
        <v>9117.8799999999992</v>
      </c>
      <c r="T39" s="9">
        <f t="shared" si="4"/>
        <v>94899.95</v>
      </c>
    </row>
    <row r="40" spans="1:30" s="6" customFormat="1" x14ac:dyDescent="0.25">
      <c r="A40" s="11" t="s">
        <v>38</v>
      </c>
      <c r="B40" s="17">
        <v>44069</v>
      </c>
      <c r="C40" s="5">
        <v>37</v>
      </c>
      <c r="D40" s="19">
        <v>2692.18</v>
      </c>
      <c r="E40" s="19">
        <v>1963.98</v>
      </c>
      <c r="F40" s="19">
        <v>11276.24</v>
      </c>
      <c r="G40" s="19">
        <v>2956.99</v>
      </c>
      <c r="H40" s="19">
        <v>1765.36</v>
      </c>
      <c r="I40" s="19">
        <v>1500.56</v>
      </c>
      <c r="J40" s="19"/>
      <c r="K40" s="19"/>
      <c r="L40" s="19">
        <v>11.1</v>
      </c>
      <c r="M40" s="19">
        <v>330.98</v>
      </c>
      <c r="N40" s="19">
        <v>2206.71</v>
      </c>
      <c r="O40" s="19">
        <v>3804.28</v>
      </c>
      <c r="P40" s="19">
        <v>185</v>
      </c>
      <c r="Q40" s="19">
        <v>3709.52</v>
      </c>
      <c r="R40" s="19">
        <v>5756.69</v>
      </c>
      <c r="S40" s="8">
        <v>3396.38</v>
      </c>
      <c r="T40" s="9">
        <f t="shared" si="4"/>
        <v>41555.969999999994</v>
      </c>
    </row>
    <row r="41" spans="1:30" s="40" customFormat="1" x14ac:dyDescent="0.25">
      <c r="A41" s="11" t="s">
        <v>39</v>
      </c>
      <c r="B41" s="17">
        <v>44064</v>
      </c>
      <c r="C41" s="5">
        <v>317</v>
      </c>
      <c r="D41" s="19">
        <v>73319.22</v>
      </c>
      <c r="E41" s="19">
        <v>48988.160000000003</v>
      </c>
      <c r="F41" s="19">
        <v>486791.37</v>
      </c>
      <c r="G41" s="19"/>
      <c r="H41" s="19">
        <v>16827.330000000002</v>
      </c>
      <c r="I41" s="19">
        <v>2103.63</v>
      </c>
      <c r="J41" s="19"/>
      <c r="K41" s="19"/>
      <c r="L41" s="19">
        <v>121340.62</v>
      </c>
      <c r="M41" s="19">
        <v>360.61</v>
      </c>
      <c r="N41" s="19"/>
      <c r="O41" s="19">
        <v>98882.39</v>
      </c>
      <c r="P41" s="19">
        <v>12008</v>
      </c>
      <c r="Q41" s="19">
        <v>111916.65</v>
      </c>
      <c r="R41" s="19">
        <v>172961.53</v>
      </c>
      <c r="S41" s="8">
        <v>90904.81</v>
      </c>
      <c r="T41" s="9">
        <f t="shared" si="4"/>
        <v>1236404.32</v>
      </c>
      <c r="U41" s="6"/>
      <c r="V41" s="6"/>
      <c r="W41" s="6"/>
      <c r="X41" s="6"/>
      <c r="Y41" s="6"/>
      <c r="Z41" s="6"/>
      <c r="AA41" s="6"/>
      <c r="AB41" s="6"/>
      <c r="AC41" s="6"/>
      <c r="AD41" s="6"/>
    </row>
    <row r="42" spans="1:30" s="6" customFormat="1" x14ac:dyDescent="0.25">
      <c r="A42" s="11" t="s">
        <v>40</v>
      </c>
      <c r="B42" s="17">
        <v>44071</v>
      </c>
      <c r="C42" s="5">
        <v>38</v>
      </c>
      <c r="D42" s="19">
        <v>1802.06</v>
      </c>
      <c r="E42" s="19">
        <v>2363.36</v>
      </c>
      <c r="F42" s="19">
        <v>6676.49</v>
      </c>
      <c r="G42" s="19">
        <v>1299.8499999999999</v>
      </c>
      <c r="H42" s="19">
        <v>738.55</v>
      </c>
      <c r="I42" s="19">
        <v>681.37</v>
      </c>
      <c r="J42" s="19"/>
      <c r="K42" s="19"/>
      <c r="L42" s="19">
        <v>116.06</v>
      </c>
      <c r="M42" s="19">
        <v>221.55</v>
      </c>
      <c r="N42" s="19">
        <v>1255.55</v>
      </c>
      <c r="O42" s="19">
        <v>2164.94</v>
      </c>
      <c r="P42" s="19">
        <v>760</v>
      </c>
      <c r="Q42" s="19">
        <v>2268.9</v>
      </c>
      <c r="R42" s="19">
        <v>3560.77</v>
      </c>
      <c r="S42" s="8">
        <v>2312.38</v>
      </c>
      <c r="T42" s="9">
        <f t="shared" si="4"/>
        <v>26221.83</v>
      </c>
    </row>
    <row r="43" spans="1:30" s="46" customFormat="1" x14ac:dyDescent="0.25">
      <c r="A43" s="11" t="s">
        <v>41</v>
      </c>
      <c r="B43" s="17">
        <v>44091</v>
      </c>
      <c r="C43" s="5">
        <v>117</v>
      </c>
      <c r="D43" s="19">
        <v>22362.27</v>
      </c>
      <c r="E43" s="19">
        <v>22034.21</v>
      </c>
      <c r="F43" s="19">
        <v>125765.92</v>
      </c>
      <c r="G43" s="19">
        <v>11296.63</v>
      </c>
      <c r="H43" s="19">
        <v>10921.08</v>
      </c>
      <c r="I43" s="19">
        <v>6573.89</v>
      </c>
      <c r="J43" s="19"/>
      <c r="K43" s="19">
        <v>14228.95</v>
      </c>
      <c r="L43" s="19"/>
      <c r="M43" s="19">
        <v>3267.2</v>
      </c>
      <c r="N43" s="19"/>
      <c r="O43" s="19">
        <v>27249.1</v>
      </c>
      <c r="P43" s="19">
        <v>1164.1099999999999</v>
      </c>
      <c r="Q43" s="19"/>
      <c r="R43" s="19">
        <v>43523.73</v>
      </c>
      <c r="S43" s="8">
        <v>26032.78</v>
      </c>
      <c r="T43" s="9">
        <f t="shared" si="4"/>
        <v>314419.87</v>
      </c>
    </row>
    <row r="44" spans="1:30" s="6" customFormat="1" x14ac:dyDescent="0.25">
      <c r="A44" s="11" t="s">
        <v>42</v>
      </c>
      <c r="B44" s="17">
        <v>44056</v>
      </c>
      <c r="C44" s="5">
        <v>131</v>
      </c>
      <c r="D44" s="7">
        <v>17715.93</v>
      </c>
      <c r="E44" s="7">
        <v>27154.799999999999</v>
      </c>
      <c r="F44" s="7">
        <v>90043.31</v>
      </c>
      <c r="G44" s="7">
        <v>12343.1</v>
      </c>
      <c r="H44" s="7">
        <v>10527.98</v>
      </c>
      <c r="I44" s="7">
        <v>2345.15</v>
      </c>
      <c r="J44" s="7"/>
      <c r="K44" s="7"/>
      <c r="L44" s="7"/>
      <c r="M44" s="7">
        <v>1306.9000000000001</v>
      </c>
      <c r="N44" s="7"/>
      <c r="O44" s="7">
        <v>23571.95</v>
      </c>
      <c r="P44" s="7">
        <v>655</v>
      </c>
      <c r="Q44" s="7">
        <v>24189.759999999998</v>
      </c>
      <c r="R44" s="7">
        <v>37387.29</v>
      </c>
      <c r="S44" s="8">
        <v>20527.64</v>
      </c>
      <c r="T44" s="9">
        <f t="shared" ref="T44:T50" si="5">SUM(D44:S44)</f>
        <v>267768.81</v>
      </c>
    </row>
    <row r="45" spans="1:30" s="6" customFormat="1" x14ac:dyDescent="0.25">
      <c r="A45" s="11" t="s">
        <v>43</v>
      </c>
      <c r="B45" s="17">
        <v>44060</v>
      </c>
      <c r="C45" s="5">
        <v>22</v>
      </c>
      <c r="D45" s="19">
        <v>1201.25</v>
      </c>
      <c r="E45" s="19">
        <v>1348.96</v>
      </c>
      <c r="F45" s="19">
        <v>6243.38</v>
      </c>
      <c r="G45" s="19">
        <v>827.08</v>
      </c>
      <c r="H45" s="19">
        <v>393.85</v>
      </c>
      <c r="I45" s="19">
        <v>579.73</v>
      </c>
      <c r="J45" s="19"/>
      <c r="K45" s="19"/>
      <c r="L45" s="19">
        <v>189.11</v>
      </c>
      <c r="M45" s="19">
        <v>265.87</v>
      </c>
      <c r="N45" s="19"/>
      <c r="O45" s="19">
        <v>1681.02</v>
      </c>
      <c r="P45" s="19">
        <v>106</v>
      </c>
      <c r="Q45" s="19">
        <v>1658.08</v>
      </c>
      <c r="R45" s="19">
        <v>2543.06</v>
      </c>
      <c r="S45" s="8">
        <v>1600.2</v>
      </c>
      <c r="T45" s="9">
        <f t="shared" si="5"/>
        <v>18637.590000000004</v>
      </c>
      <c r="U45" s="8"/>
    </row>
    <row r="46" spans="1:30" s="6" customFormat="1" x14ac:dyDescent="0.25">
      <c r="A46" s="11" t="s">
        <v>44</v>
      </c>
      <c r="B46" s="17">
        <v>44070</v>
      </c>
      <c r="C46" s="5">
        <v>114</v>
      </c>
      <c r="D46" s="7">
        <v>2343.27</v>
      </c>
      <c r="E46" s="7">
        <v>1949.44</v>
      </c>
      <c r="F46" s="7">
        <v>12830.25</v>
      </c>
      <c r="G46" s="7">
        <v>2247.2399999999998</v>
      </c>
      <c r="H46" s="7">
        <v>1056.3599999999999</v>
      </c>
      <c r="I46" s="7">
        <v>1085.4100000000001</v>
      </c>
      <c r="J46" s="7"/>
      <c r="K46" s="7">
        <v>251.1</v>
      </c>
      <c r="L46" s="7">
        <v>554.39</v>
      </c>
      <c r="M46" s="7">
        <v>172.88</v>
      </c>
      <c r="N46" s="7"/>
      <c r="O46" s="7">
        <v>2992.54</v>
      </c>
      <c r="P46" s="7"/>
      <c r="Q46" s="7"/>
      <c r="R46" s="7">
        <v>4498.07</v>
      </c>
      <c r="S46" s="8">
        <v>2465.0100000000002</v>
      </c>
      <c r="T46" s="9">
        <f t="shared" si="5"/>
        <v>32445.96</v>
      </c>
    </row>
    <row r="47" spans="1:30" s="6" customFormat="1" x14ac:dyDescent="0.25">
      <c r="A47" s="11" t="s">
        <v>45</v>
      </c>
      <c r="B47" s="17">
        <v>44083</v>
      </c>
      <c r="C47" s="5">
        <v>33</v>
      </c>
      <c r="D47" s="19">
        <v>2757.43</v>
      </c>
      <c r="E47" s="19">
        <v>1808.16</v>
      </c>
      <c r="F47" s="19">
        <v>15212.88</v>
      </c>
      <c r="G47" s="19">
        <v>1514.34</v>
      </c>
      <c r="H47" s="19">
        <v>904.08</v>
      </c>
      <c r="I47" s="19">
        <v>978.44</v>
      </c>
      <c r="J47" s="19"/>
      <c r="K47" s="19">
        <v>1576.13</v>
      </c>
      <c r="L47" s="19">
        <v>765.04</v>
      </c>
      <c r="M47" s="19">
        <v>187.61</v>
      </c>
      <c r="N47" s="19"/>
      <c r="O47" s="19">
        <v>3650.74</v>
      </c>
      <c r="P47" s="19">
        <v>425</v>
      </c>
      <c r="Q47" s="19">
        <v>4466.4799999999996</v>
      </c>
      <c r="R47" s="19">
        <v>6100.13</v>
      </c>
      <c r="S47" s="8">
        <v>3512.05</v>
      </c>
      <c r="T47" s="9">
        <f t="shared" si="5"/>
        <v>43858.51</v>
      </c>
    </row>
    <row r="48" spans="1:30" s="6" customFormat="1" x14ac:dyDescent="0.25">
      <c r="A48" s="11" t="s">
        <v>46</v>
      </c>
      <c r="B48" s="17">
        <v>44098</v>
      </c>
      <c r="C48" s="5">
        <v>57</v>
      </c>
      <c r="D48" s="19">
        <v>4917.1899999999996</v>
      </c>
      <c r="E48" s="19">
        <v>5407.46</v>
      </c>
      <c r="F48" s="19">
        <v>26095.03</v>
      </c>
      <c r="G48" s="19">
        <v>4186.8</v>
      </c>
      <c r="H48" s="19">
        <v>1128.56</v>
      </c>
      <c r="I48" s="19">
        <v>2894.99</v>
      </c>
      <c r="J48" s="19">
        <v>644.86</v>
      </c>
      <c r="K48" s="19">
        <v>1313</v>
      </c>
      <c r="L48" s="19">
        <v>18.149999999999999</v>
      </c>
      <c r="M48" s="19">
        <v>403.05</v>
      </c>
      <c r="N48" s="19"/>
      <c r="O48" s="19">
        <v>6866.67</v>
      </c>
      <c r="P48" s="19">
        <v>397</v>
      </c>
      <c r="Q48" s="19">
        <v>7971.86</v>
      </c>
      <c r="R48" s="19">
        <v>11110.15</v>
      </c>
      <c r="S48" s="8">
        <v>6353.07</v>
      </c>
      <c r="T48" s="9">
        <f t="shared" si="5"/>
        <v>79707.839999999997</v>
      </c>
    </row>
    <row r="49" spans="1:20" s="6" customFormat="1" x14ac:dyDescent="0.25">
      <c r="A49" s="11" t="s">
        <v>47</v>
      </c>
      <c r="B49" s="17">
        <v>44096</v>
      </c>
      <c r="C49" s="5">
        <v>81</v>
      </c>
      <c r="D49" s="19">
        <v>5600.03</v>
      </c>
      <c r="E49" s="19">
        <v>4406.57</v>
      </c>
      <c r="F49" s="19">
        <v>18684.46</v>
      </c>
      <c r="G49" s="19">
        <v>2524.63</v>
      </c>
      <c r="H49" s="19">
        <v>1606.6</v>
      </c>
      <c r="I49" s="19">
        <v>1836.08</v>
      </c>
      <c r="J49" s="19"/>
      <c r="K49" s="19">
        <v>1959.24</v>
      </c>
      <c r="L49" s="19">
        <v>1033.76</v>
      </c>
      <c r="M49" s="19"/>
      <c r="N49" s="19"/>
      <c r="O49" s="19">
        <v>5551.93</v>
      </c>
      <c r="P49" s="19">
        <v>326</v>
      </c>
      <c r="Q49" s="19">
        <v>6158.67</v>
      </c>
      <c r="R49" s="19">
        <v>9108.51</v>
      </c>
      <c r="S49" s="8">
        <v>5688.24</v>
      </c>
      <c r="T49" s="9">
        <f t="shared" si="5"/>
        <v>64484.72</v>
      </c>
    </row>
    <row r="50" spans="1:20" s="6" customFormat="1" x14ac:dyDescent="0.25">
      <c r="A50" s="11" t="s">
        <v>48</v>
      </c>
      <c r="B50" s="17">
        <v>44076</v>
      </c>
      <c r="C50" s="5">
        <v>71</v>
      </c>
      <c r="D50" s="7">
        <v>5060.22</v>
      </c>
      <c r="E50" s="7">
        <v>2778.98</v>
      </c>
      <c r="F50" s="7">
        <v>21817.13</v>
      </c>
      <c r="G50" s="7">
        <v>4023.33</v>
      </c>
      <c r="H50" s="7">
        <v>1078.42</v>
      </c>
      <c r="I50" s="7">
        <v>2082.17</v>
      </c>
      <c r="J50" s="7">
        <v>1825.02</v>
      </c>
      <c r="K50" s="7">
        <v>3109.99</v>
      </c>
      <c r="L50" s="7"/>
      <c r="M50" s="7"/>
      <c r="N50" s="7"/>
      <c r="O50" s="7">
        <v>5234.42</v>
      </c>
      <c r="P50" s="7">
        <v>213</v>
      </c>
      <c r="Q50" s="7"/>
      <c r="R50" s="7">
        <v>8497.07</v>
      </c>
      <c r="S50" s="8">
        <v>5242.53</v>
      </c>
      <c r="T50" s="9">
        <f t="shared" si="5"/>
        <v>60962.279999999992</v>
      </c>
    </row>
    <row r="51" spans="1:20" s="6" customFormat="1" x14ac:dyDescent="0.25">
      <c r="A51" s="11" t="s">
        <v>49</v>
      </c>
      <c r="B51" s="17">
        <v>44091</v>
      </c>
      <c r="C51" s="5">
        <v>164</v>
      </c>
      <c r="D51" s="19">
        <v>6905.75</v>
      </c>
      <c r="E51" s="19">
        <v>5807.31</v>
      </c>
      <c r="F51" s="19">
        <v>29995.62</v>
      </c>
      <c r="G51" s="19">
        <v>5127.96</v>
      </c>
      <c r="H51" s="19">
        <v>1898.55</v>
      </c>
      <c r="I51" s="19">
        <v>3206.26</v>
      </c>
      <c r="J51" s="19"/>
      <c r="K51" s="19"/>
      <c r="L51" s="19">
        <v>21.81</v>
      </c>
      <c r="M51" s="19"/>
      <c r="N51" s="19">
        <v>5583.91</v>
      </c>
      <c r="O51" s="19">
        <v>7625.45</v>
      </c>
      <c r="P51" s="19">
        <v>210</v>
      </c>
      <c r="Q51" s="19">
        <v>7581.13</v>
      </c>
      <c r="R51" s="19">
        <v>11631.25</v>
      </c>
      <c r="S51" s="8">
        <v>7682.55</v>
      </c>
      <c r="T51" s="9">
        <f>SUM(D51:S51)</f>
        <v>93277.55</v>
      </c>
    </row>
    <row r="52" spans="1:20" s="6" customFormat="1" x14ac:dyDescent="0.25">
      <c r="A52" s="11" t="s">
        <v>50</v>
      </c>
      <c r="B52" s="17">
        <v>44063</v>
      </c>
      <c r="C52" s="5">
        <v>144</v>
      </c>
      <c r="D52" s="7">
        <v>11885.36</v>
      </c>
      <c r="E52" s="7">
        <v>30298.12</v>
      </c>
      <c r="F52" s="7">
        <v>83489.100000000006</v>
      </c>
      <c r="G52" s="7">
        <v>8573.14</v>
      </c>
      <c r="H52" s="7">
        <v>7793.74</v>
      </c>
      <c r="I52" s="7">
        <v>2205.64</v>
      </c>
      <c r="J52" s="7"/>
      <c r="K52" s="7">
        <v>4768.03</v>
      </c>
      <c r="L52" s="7">
        <v>3308.38</v>
      </c>
      <c r="M52" s="7">
        <v>24.16</v>
      </c>
      <c r="N52" s="7">
        <v>5385.92</v>
      </c>
      <c r="O52" s="7">
        <v>22915.119999999999</v>
      </c>
      <c r="P52" s="7">
        <v>3320</v>
      </c>
      <c r="Q52" s="7">
        <v>23629.94</v>
      </c>
      <c r="R52" s="7">
        <v>36604.269999999997</v>
      </c>
      <c r="S52" s="8">
        <v>20272.759999999998</v>
      </c>
      <c r="T52" s="9">
        <f t="shared" ref="T52:T57" si="6">SUM(D52:S52)</f>
        <v>264473.68</v>
      </c>
    </row>
    <row r="53" spans="1:20" s="6" customFormat="1" x14ac:dyDescent="0.25">
      <c r="A53" s="11" t="s">
        <v>51</v>
      </c>
      <c r="B53" s="17">
        <v>44118</v>
      </c>
      <c r="C53" s="5">
        <v>18</v>
      </c>
      <c r="D53" s="19">
        <v>992.98</v>
      </c>
      <c r="E53" s="19">
        <v>341.86</v>
      </c>
      <c r="F53" s="19">
        <v>5607.78</v>
      </c>
      <c r="G53" s="19">
        <v>935.98</v>
      </c>
      <c r="H53" s="19">
        <v>345.91</v>
      </c>
      <c r="I53" s="19">
        <v>3.93</v>
      </c>
      <c r="J53" s="19"/>
      <c r="K53" s="19"/>
      <c r="L53" s="19"/>
      <c r="M53" s="19"/>
      <c r="N53" s="19"/>
      <c r="O53" s="19">
        <v>1220.19</v>
      </c>
      <c r="P53" s="19">
        <v>252</v>
      </c>
      <c r="Q53" s="19">
        <v>1432.54</v>
      </c>
      <c r="R53" s="19">
        <v>1932.31</v>
      </c>
      <c r="S53" s="8">
        <v>1236.1600000000001</v>
      </c>
      <c r="T53" s="9">
        <f t="shared" si="6"/>
        <v>14301.640000000001</v>
      </c>
    </row>
    <row r="54" spans="1:20" s="6" customFormat="1" x14ac:dyDescent="0.25">
      <c r="A54" s="11" t="s">
        <v>52</v>
      </c>
      <c r="B54" s="17">
        <v>44067</v>
      </c>
      <c r="C54" s="5">
        <v>246</v>
      </c>
      <c r="D54" s="7">
        <v>20568.96</v>
      </c>
      <c r="E54" s="7">
        <v>20832.46</v>
      </c>
      <c r="F54" s="7">
        <v>108770.15</v>
      </c>
      <c r="G54" s="7"/>
      <c r="H54" s="7">
        <v>3709.12</v>
      </c>
      <c r="I54" s="7">
        <v>2780.15</v>
      </c>
      <c r="J54" s="7"/>
      <c r="K54" s="7"/>
      <c r="L54" s="7">
        <v>4393.41</v>
      </c>
      <c r="M54" s="7"/>
      <c r="N54" s="7"/>
      <c r="O54" s="7">
        <v>19136.669999999998</v>
      </c>
      <c r="P54" s="7">
        <v>3198</v>
      </c>
      <c r="Q54" s="7"/>
      <c r="R54" s="7">
        <v>33657.46</v>
      </c>
      <c r="S54" s="8">
        <v>20272.759999999998</v>
      </c>
      <c r="T54" s="9">
        <f t="shared" si="6"/>
        <v>237319.13999999998</v>
      </c>
    </row>
    <row r="55" spans="1:20" s="6" customFormat="1" x14ac:dyDescent="0.25">
      <c r="A55" s="11" t="s">
        <v>53</v>
      </c>
      <c r="B55" s="17">
        <v>44057</v>
      </c>
      <c r="C55" s="5">
        <v>94</v>
      </c>
      <c r="D55" s="19">
        <v>9252.6200000000008</v>
      </c>
      <c r="E55" s="19">
        <v>31793.599999999999</v>
      </c>
      <c r="F55" s="19">
        <v>33891.17</v>
      </c>
      <c r="G55" s="19">
        <v>7584.18</v>
      </c>
      <c r="H55" s="19">
        <v>4171.45</v>
      </c>
      <c r="I55" s="19">
        <v>7584.18</v>
      </c>
      <c r="J55" s="19">
        <v>0</v>
      </c>
      <c r="K55" s="19">
        <v>0</v>
      </c>
      <c r="L55" s="19">
        <v>4516.96</v>
      </c>
      <c r="M55" s="19">
        <v>1289.3399999999999</v>
      </c>
      <c r="N55" s="19">
        <v>0</v>
      </c>
      <c r="O55" s="19">
        <v>13558.33</v>
      </c>
      <c r="P55" s="19">
        <v>0</v>
      </c>
      <c r="Q55" s="19"/>
      <c r="R55" s="19">
        <v>20204.79</v>
      </c>
      <c r="S55" s="8">
        <v>12828.37</v>
      </c>
      <c r="T55" s="9">
        <f t="shared" si="6"/>
        <v>146674.99000000002</v>
      </c>
    </row>
    <row r="56" spans="1:20" s="6" customFormat="1" x14ac:dyDescent="0.25">
      <c r="A56" s="11" t="s">
        <v>54</v>
      </c>
      <c r="B56" s="17">
        <v>44062</v>
      </c>
      <c r="C56" s="5">
        <v>20</v>
      </c>
      <c r="D56" s="19">
        <v>3468.67</v>
      </c>
      <c r="E56" s="19">
        <v>3175.35</v>
      </c>
      <c r="F56" s="19">
        <v>14699.27</v>
      </c>
      <c r="G56" s="19">
        <v>1990.26</v>
      </c>
      <c r="H56" s="19">
        <v>1279.45</v>
      </c>
      <c r="I56" s="19">
        <v>1577.68</v>
      </c>
      <c r="J56" s="19"/>
      <c r="K56" s="19">
        <v>1064.27</v>
      </c>
      <c r="L56" s="19"/>
      <c r="M56" s="19">
        <v>312.75</v>
      </c>
      <c r="N56" s="19"/>
      <c r="O56" s="19">
        <v>3453.17</v>
      </c>
      <c r="P56" s="19"/>
      <c r="Q56" s="19"/>
      <c r="R56" s="19">
        <v>5513.55</v>
      </c>
      <c r="S56" s="8">
        <v>2927.75</v>
      </c>
      <c r="T56" s="9">
        <f t="shared" si="6"/>
        <v>39462.170000000006</v>
      </c>
    </row>
    <row r="57" spans="1:20" s="6" customFormat="1" x14ac:dyDescent="0.25">
      <c r="A57" s="11" t="s">
        <v>55</v>
      </c>
      <c r="B57" s="17">
        <v>44090</v>
      </c>
      <c r="C57" s="5">
        <v>80</v>
      </c>
      <c r="D57" s="7">
        <v>3463.7</v>
      </c>
      <c r="E57" s="7">
        <v>2981.03</v>
      </c>
      <c r="F57" s="7">
        <v>18394.55</v>
      </c>
      <c r="G57" s="7">
        <v>2697.17</v>
      </c>
      <c r="H57" s="7"/>
      <c r="I57" s="7"/>
      <c r="J57" s="7"/>
      <c r="K57" s="7">
        <v>2135</v>
      </c>
      <c r="L57" s="7">
        <v>12.6</v>
      </c>
      <c r="M57" s="7"/>
      <c r="N57" s="7">
        <v>2981.03</v>
      </c>
      <c r="O57" s="7">
        <v>4762.76</v>
      </c>
      <c r="P57" s="7">
        <v>800</v>
      </c>
      <c r="Q57" s="7">
        <v>5566.77</v>
      </c>
      <c r="R57" s="7">
        <v>7476.01</v>
      </c>
      <c r="S57" s="8">
        <v>4938</v>
      </c>
      <c r="T57" s="9">
        <f t="shared" si="6"/>
        <v>56208.62</v>
      </c>
    </row>
    <row r="58" spans="1:20" s="6" customFormat="1" x14ac:dyDescent="0.25">
      <c r="A58" s="11" t="s">
        <v>56</v>
      </c>
      <c r="B58" s="17">
        <v>44097</v>
      </c>
      <c r="C58" s="5">
        <v>89</v>
      </c>
      <c r="D58" s="19">
        <v>2684.43</v>
      </c>
      <c r="E58" s="19">
        <v>2888.59</v>
      </c>
      <c r="F58" s="19">
        <v>13801.94</v>
      </c>
      <c r="G58" s="19">
        <v>2750.31</v>
      </c>
      <c r="H58" s="19">
        <v>1285.2</v>
      </c>
      <c r="I58" s="19">
        <v>840.25</v>
      </c>
      <c r="J58" s="19"/>
      <c r="K58" s="19">
        <v>1080.3800000000001</v>
      </c>
      <c r="L58" s="19"/>
      <c r="M58" s="19"/>
      <c r="N58" s="19"/>
      <c r="O58" s="19">
        <v>3465.57</v>
      </c>
      <c r="P58" s="19">
        <v>32</v>
      </c>
      <c r="Q58" s="19">
        <v>4022.2</v>
      </c>
      <c r="R58" s="19">
        <v>5675.36</v>
      </c>
      <c r="S58" s="8">
        <v>3317.68</v>
      </c>
      <c r="T58" s="9">
        <f>SUM(D58:S58)</f>
        <v>41843.910000000003</v>
      </c>
    </row>
    <row r="59" spans="1:20" s="6" customFormat="1" x14ac:dyDescent="0.25">
      <c r="A59" s="11" t="s">
        <v>57</v>
      </c>
      <c r="B59" s="17">
        <v>44068</v>
      </c>
      <c r="C59" s="5">
        <v>28</v>
      </c>
      <c r="D59" s="7">
        <v>1496.21</v>
      </c>
      <c r="E59" s="7">
        <v>1483.94</v>
      </c>
      <c r="F59" s="7">
        <v>9258.52</v>
      </c>
      <c r="G59" s="7">
        <v>1250.93</v>
      </c>
      <c r="H59" s="7">
        <v>490.56</v>
      </c>
      <c r="I59" s="7">
        <v>564.13</v>
      </c>
      <c r="J59" s="7">
        <v>54.36</v>
      </c>
      <c r="K59" s="7">
        <v>700</v>
      </c>
      <c r="L59" s="7">
        <v>1.4</v>
      </c>
      <c r="M59" s="7">
        <v>109.16</v>
      </c>
      <c r="N59" s="7"/>
      <c r="O59" s="7">
        <v>2263.0700000000002</v>
      </c>
      <c r="P59" s="7">
        <v>308</v>
      </c>
      <c r="Q59" s="7">
        <v>2273.4499999999998</v>
      </c>
      <c r="R59" s="7">
        <v>3599.71</v>
      </c>
      <c r="S59" s="8">
        <v>2191.91</v>
      </c>
      <c r="T59" s="9">
        <f>SUM(D59:S59)</f>
        <v>26045.35</v>
      </c>
    </row>
    <row r="60" spans="1:20" s="6" customFormat="1" x14ac:dyDescent="0.25">
      <c r="A60" s="11" t="s">
        <v>57</v>
      </c>
      <c r="B60" s="17">
        <v>44068</v>
      </c>
      <c r="C60" s="5">
        <v>56</v>
      </c>
      <c r="D60" s="7">
        <v>3488.09</v>
      </c>
      <c r="E60" s="7">
        <v>3456.69</v>
      </c>
      <c r="F60" s="7">
        <v>21517.18</v>
      </c>
      <c r="G60" s="7">
        <v>2916.27</v>
      </c>
      <c r="H60" s="7">
        <v>1143.6400000000001</v>
      </c>
      <c r="I60" s="7">
        <v>1315.4</v>
      </c>
      <c r="J60" s="7"/>
      <c r="K60" s="7">
        <v>1225</v>
      </c>
      <c r="L60" s="7">
        <v>90.68</v>
      </c>
      <c r="M60" s="7">
        <v>254.11</v>
      </c>
      <c r="N60" s="7"/>
      <c r="O60" s="7">
        <v>5202.1899999999996</v>
      </c>
      <c r="P60" s="7">
        <v>594</v>
      </c>
      <c r="Q60" s="7">
        <v>5339.65</v>
      </c>
      <c r="R60" s="7">
        <v>8241.81</v>
      </c>
      <c r="S60" s="8">
        <v>4863.2299999999996</v>
      </c>
      <c r="T60" s="9">
        <f>SUM(D60:S60)</f>
        <v>59647.94</v>
      </c>
    </row>
    <row r="61" spans="1:20" s="6" customFormat="1" x14ac:dyDescent="0.25">
      <c r="A61" s="11" t="s">
        <v>58</v>
      </c>
      <c r="B61" s="17">
        <v>44056</v>
      </c>
      <c r="C61" s="5">
        <v>1</v>
      </c>
      <c r="D61" s="7">
        <v>6.1</v>
      </c>
      <c r="E61" s="7">
        <v>7.65</v>
      </c>
      <c r="F61" s="7">
        <v>28.2</v>
      </c>
      <c r="G61" s="7"/>
      <c r="H61" s="7">
        <v>1.6</v>
      </c>
      <c r="I61" s="7">
        <v>2.73</v>
      </c>
      <c r="J61" s="7"/>
      <c r="K61" s="7"/>
      <c r="L61" s="7"/>
      <c r="M61" s="7">
        <v>3.18</v>
      </c>
      <c r="N61" s="7"/>
      <c r="O61" s="7">
        <v>7.67</v>
      </c>
      <c r="P61" s="7">
        <v>11</v>
      </c>
      <c r="Q61" s="7">
        <v>7.43</v>
      </c>
      <c r="R61" s="7">
        <v>13.38</v>
      </c>
      <c r="S61" s="8">
        <v>20.69</v>
      </c>
      <c r="T61" s="9">
        <f>SUM(D61:S61)</f>
        <v>109.63</v>
      </c>
    </row>
    <row r="62" spans="1:20" s="6" customFormat="1" x14ac:dyDescent="0.25">
      <c r="A62" s="11" t="s">
        <v>59</v>
      </c>
      <c r="B62" s="17">
        <v>44076</v>
      </c>
      <c r="C62" s="5">
        <v>88</v>
      </c>
      <c r="D62" s="19">
        <v>13941.15</v>
      </c>
      <c r="E62" s="19">
        <v>16569.57</v>
      </c>
      <c r="F62" s="19">
        <v>78789.58</v>
      </c>
      <c r="G62" s="19">
        <v>0</v>
      </c>
      <c r="H62" s="19">
        <v>4456.63</v>
      </c>
      <c r="I62" s="19">
        <v>2985.97</v>
      </c>
      <c r="J62" s="19"/>
      <c r="K62" s="19">
        <v>4348.8100000000004</v>
      </c>
      <c r="L62" s="19">
        <v>26.88</v>
      </c>
      <c r="M62" s="19"/>
      <c r="N62" s="19"/>
      <c r="O62" s="19">
        <v>14177.47</v>
      </c>
      <c r="P62" s="19"/>
      <c r="Q62" s="19"/>
      <c r="R62" s="19">
        <v>23986.98</v>
      </c>
      <c r="S62" s="8">
        <v>12785.22</v>
      </c>
      <c r="T62" s="9">
        <f>SUM(D62:S62)</f>
        <v>172068.26</v>
      </c>
    </row>
    <row r="63" spans="1:20" s="46" customFormat="1" hidden="1" x14ac:dyDescent="0.25">
      <c r="A63" s="38" t="s">
        <v>60</v>
      </c>
      <c r="B63" s="41">
        <v>44075</v>
      </c>
      <c r="C63" s="42"/>
      <c r="D63" s="43"/>
      <c r="E63" s="43"/>
      <c r="F63" s="43"/>
      <c r="G63" s="43"/>
      <c r="H63" s="43"/>
      <c r="I63" s="43"/>
      <c r="J63" s="43"/>
      <c r="K63" s="43"/>
      <c r="L63" s="43"/>
      <c r="M63" s="43"/>
      <c r="N63" s="43"/>
      <c r="O63" s="43"/>
      <c r="P63" s="43"/>
      <c r="Q63" s="43"/>
      <c r="R63" s="43"/>
      <c r="S63" s="44"/>
      <c r="T63" s="45"/>
    </row>
    <row r="64" spans="1:20" s="6" customFormat="1" x14ac:dyDescent="0.25">
      <c r="A64" s="11" t="s">
        <v>61</v>
      </c>
      <c r="B64" s="17">
        <v>44057</v>
      </c>
      <c r="C64" s="5">
        <v>1051</v>
      </c>
      <c r="D64" s="18">
        <v>167566.54999999999</v>
      </c>
      <c r="E64" s="19">
        <v>172694.73</v>
      </c>
      <c r="F64" s="18">
        <v>1002629</v>
      </c>
      <c r="G64" s="19"/>
      <c r="H64" s="19"/>
      <c r="I64" s="19"/>
      <c r="J64" s="19"/>
      <c r="K64" s="20">
        <v>120911.51</v>
      </c>
      <c r="L64" s="19">
        <v>167480.69</v>
      </c>
      <c r="M64" s="19"/>
      <c r="N64" s="19"/>
      <c r="O64" s="19">
        <v>192272.7</v>
      </c>
      <c r="P64" s="19">
        <v>58964.56</v>
      </c>
      <c r="Q64" s="19"/>
      <c r="R64" s="19">
        <v>328408.05</v>
      </c>
      <c r="S64" s="8">
        <v>206017.57</v>
      </c>
      <c r="T64" s="9">
        <f t="shared" ref="T64:T71" si="7">SUM(D64:S64)</f>
        <v>2416945.36</v>
      </c>
    </row>
    <row r="65" spans="1:20" s="6" customFormat="1" hidden="1" x14ac:dyDescent="0.25">
      <c r="A65" s="11" t="s">
        <v>158</v>
      </c>
      <c r="B65" s="17">
        <v>44057</v>
      </c>
      <c r="C65" s="5">
        <v>1051</v>
      </c>
      <c r="D65" s="18">
        <v>2989.85</v>
      </c>
      <c r="E65" s="19">
        <v>3078.15</v>
      </c>
      <c r="F65" s="18">
        <v>17983.830000000002</v>
      </c>
      <c r="G65" s="19"/>
      <c r="H65" s="19"/>
      <c r="I65" s="19"/>
      <c r="J65" s="19"/>
      <c r="K65" s="20">
        <v>6226.25</v>
      </c>
      <c r="L65" s="19"/>
      <c r="M65" s="19"/>
      <c r="N65" s="19"/>
      <c r="O65" s="19">
        <v>4146.7299999999996</v>
      </c>
      <c r="P65" s="19">
        <v>2744.56</v>
      </c>
      <c r="Q65" s="19">
        <v>5641.48</v>
      </c>
      <c r="R65" s="19">
        <v>7460.6</v>
      </c>
      <c r="S65" s="8">
        <v>4316.29</v>
      </c>
      <c r="T65" s="9">
        <f>SUM(D65:S65)</f>
        <v>54587.739999999991</v>
      </c>
    </row>
    <row r="66" spans="1:20" s="6" customFormat="1" x14ac:dyDescent="0.25">
      <c r="A66" s="11" t="s">
        <v>62</v>
      </c>
      <c r="B66" s="17">
        <v>44102</v>
      </c>
      <c r="C66" s="5">
        <v>53</v>
      </c>
      <c r="D66" s="19">
        <v>7456.42</v>
      </c>
      <c r="E66" s="19">
        <v>4950.63</v>
      </c>
      <c r="F66" s="19">
        <v>42171.73</v>
      </c>
      <c r="G66" s="19">
        <v>7028.7</v>
      </c>
      <c r="H66" s="19">
        <v>1833.56</v>
      </c>
      <c r="I66" s="19">
        <v>1020.72</v>
      </c>
      <c r="J66" s="19"/>
      <c r="K66" s="19">
        <v>2343.14</v>
      </c>
      <c r="L66" s="19"/>
      <c r="M66" s="19"/>
      <c r="N66" s="19"/>
      <c r="O66" s="19">
        <v>9112.19</v>
      </c>
      <c r="P66" s="19">
        <v>477</v>
      </c>
      <c r="Q66" s="19">
        <v>10810.36</v>
      </c>
      <c r="R66" s="19">
        <v>15576.05</v>
      </c>
      <c r="S66" s="8">
        <v>8556.57</v>
      </c>
      <c r="T66" s="9">
        <f t="shared" si="7"/>
        <v>111337.07</v>
      </c>
    </row>
    <row r="67" spans="1:20" s="6" customFormat="1" x14ac:dyDescent="0.25">
      <c r="A67" s="11" t="s">
        <v>63</v>
      </c>
      <c r="B67" s="17">
        <v>44119</v>
      </c>
      <c r="C67" s="5">
        <v>122</v>
      </c>
      <c r="D67" s="19">
        <v>9555.1200000000008</v>
      </c>
      <c r="E67" s="19">
        <v>7362.16</v>
      </c>
      <c r="F67" s="19">
        <v>30896.3</v>
      </c>
      <c r="G67" s="19">
        <v>6657.27</v>
      </c>
      <c r="H67" s="19">
        <v>4699.24</v>
      </c>
      <c r="I67" s="19">
        <v>3043.58</v>
      </c>
      <c r="J67" s="19"/>
      <c r="K67" s="19">
        <v>2007.18</v>
      </c>
      <c r="L67" s="19"/>
      <c r="M67" s="19">
        <v>626.6</v>
      </c>
      <c r="N67" s="19"/>
      <c r="O67" s="19">
        <v>9951.34</v>
      </c>
      <c r="P67" s="19">
        <v>847</v>
      </c>
      <c r="Q67" s="19">
        <v>11299.15</v>
      </c>
      <c r="R67" s="19">
        <v>15395.85</v>
      </c>
      <c r="S67" s="8">
        <v>9392.02</v>
      </c>
      <c r="T67" s="9">
        <f t="shared" si="7"/>
        <v>111732.81000000001</v>
      </c>
    </row>
    <row r="68" spans="1:20" s="6" customFormat="1" x14ac:dyDescent="0.25">
      <c r="A68" s="11" t="s">
        <v>64</v>
      </c>
      <c r="B68" s="17">
        <v>44068</v>
      </c>
      <c r="C68" s="5">
        <v>359</v>
      </c>
      <c r="D68" s="7">
        <v>45693.19</v>
      </c>
      <c r="E68" s="7">
        <v>62064.44</v>
      </c>
      <c r="F68" s="7">
        <v>305461.15000000002</v>
      </c>
      <c r="G68" s="7">
        <v>42322.879999999997</v>
      </c>
      <c r="H68" s="7">
        <v>9476.4699999999993</v>
      </c>
      <c r="I68" s="7">
        <v>3902.91</v>
      </c>
      <c r="J68" s="7"/>
      <c r="K68" s="7">
        <v>14092.12</v>
      </c>
      <c r="L68" s="7">
        <v>12958.19</v>
      </c>
      <c r="M68" s="7"/>
      <c r="N68" s="7"/>
      <c r="O68" s="7">
        <v>59072.72</v>
      </c>
      <c r="P68" s="7"/>
      <c r="Q68" s="7"/>
      <c r="R68" s="7">
        <v>99409.75</v>
      </c>
      <c r="S68" s="8">
        <v>64783.1</v>
      </c>
      <c r="T68" s="9">
        <f t="shared" si="7"/>
        <v>719236.91999999993</v>
      </c>
    </row>
    <row r="69" spans="1:20" s="6" customFormat="1" x14ac:dyDescent="0.25">
      <c r="A69" s="11" t="s">
        <v>151</v>
      </c>
      <c r="B69" s="17">
        <v>44068</v>
      </c>
      <c r="C69" s="5">
        <v>27</v>
      </c>
      <c r="D69" s="7">
        <v>3264.55</v>
      </c>
      <c r="E69" s="7">
        <v>4255.8</v>
      </c>
      <c r="F69" s="7">
        <v>19342.27</v>
      </c>
      <c r="G69" s="7">
        <v>3024.57</v>
      </c>
      <c r="H69" s="7">
        <v>677.23</v>
      </c>
      <c r="I69" s="7">
        <v>278.89999999999998</v>
      </c>
      <c r="J69" s="7"/>
      <c r="K69" s="7">
        <v>2533.1999999999998</v>
      </c>
      <c r="L69" s="7">
        <v>789.66</v>
      </c>
      <c r="M69" s="7"/>
      <c r="N69" s="7"/>
      <c r="O69" s="7">
        <v>4693.16</v>
      </c>
      <c r="P69" s="7">
        <v>182</v>
      </c>
      <c r="Q69" s="7">
        <v>5107.8</v>
      </c>
      <c r="R69" s="7">
        <v>7906.97</v>
      </c>
      <c r="S69" s="8">
        <v>5045.5</v>
      </c>
      <c r="T69" s="9">
        <f t="shared" si="7"/>
        <v>57101.610000000015</v>
      </c>
    </row>
    <row r="70" spans="1:20" s="6" customFormat="1" x14ac:dyDescent="0.25">
      <c r="A70" s="11" t="s">
        <v>65</v>
      </c>
      <c r="B70" s="17">
        <v>44090</v>
      </c>
      <c r="C70" s="5">
        <v>1</v>
      </c>
      <c r="D70" s="19">
        <v>15.58</v>
      </c>
      <c r="E70" s="19">
        <v>21.66</v>
      </c>
      <c r="F70" s="19">
        <v>81.760000000000005</v>
      </c>
      <c r="G70" s="19"/>
      <c r="H70" s="19">
        <v>7.66</v>
      </c>
      <c r="I70" s="19">
        <v>7.66</v>
      </c>
      <c r="J70" s="19"/>
      <c r="K70" s="19"/>
      <c r="L70" s="19"/>
      <c r="M70" s="19">
        <v>2.04</v>
      </c>
      <c r="N70" s="19"/>
      <c r="O70" s="19">
        <v>0</v>
      </c>
      <c r="P70" s="19">
        <v>0</v>
      </c>
      <c r="Q70" s="19">
        <v>13.34</v>
      </c>
      <c r="R70" s="19"/>
      <c r="S70" s="8"/>
      <c r="T70" s="9">
        <f t="shared" si="7"/>
        <v>149.69999999999999</v>
      </c>
    </row>
    <row r="71" spans="1:20" s="6" customFormat="1" x14ac:dyDescent="0.25">
      <c r="A71" s="11" t="s">
        <v>66</v>
      </c>
      <c r="B71" s="17">
        <v>44155</v>
      </c>
      <c r="C71" s="5">
        <v>110</v>
      </c>
      <c r="D71" s="7">
        <v>6952.65</v>
      </c>
      <c r="E71" s="7">
        <v>6211.74</v>
      </c>
      <c r="F71" s="7">
        <v>26755.08</v>
      </c>
      <c r="G71" s="7">
        <v>5054.32</v>
      </c>
      <c r="H71" s="7">
        <v>2279.56</v>
      </c>
      <c r="I71" s="7" t="s">
        <v>157</v>
      </c>
      <c r="J71" s="7">
        <v>3989.22</v>
      </c>
      <c r="K71" s="7">
        <v>3613.67</v>
      </c>
      <c r="L71" s="7">
        <v>2045.24</v>
      </c>
      <c r="M71" s="7">
        <v>1253.3</v>
      </c>
      <c r="N71" s="7">
        <v>1983.08</v>
      </c>
      <c r="O71" s="7">
        <v>9324.77</v>
      </c>
      <c r="P71" s="7">
        <v>550</v>
      </c>
      <c r="Q71" s="7">
        <v>11642.89</v>
      </c>
      <c r="R71" s="7">
        <v>14356.18</v>
      </c>
      <c r="S71" s="8">
        <v>8828.11</v>
      </c>
      <c r="T71" s="9">
        <f t="shared" si="7"/>
        <v>104839.81000000001</v>
      </c>
    </row>
    <row r="72" spans="1:20" s="6" customFormat="1" x14ac:dyDescent="0.25">
      <c r="A72" s="11" t="s">
        <v>67</v>
      </c>
      <c r="B72" s="17">
        <v>44075</v>
      </c>
      <c r="C72" s="5">
        <v>26</v>
      </c>
      <c r="D72" s="19">
        <v>1755.63</v>
      </c>
      <c r="E72" s="19">
        <v>3281.03</v>
      </c>
      <c r="F72" s="19">
        <v>7339.13</v>
      </c>
      <c r="G72" s="19">
        <v>892.19</v>
      </c>
      <c r="H72" s="19">
        <v>402.94</v>
      </c>
      <c r="I72" s="19">
        <v>673.34</v>
      </c>
      <c r="J72" s="19"/>
      <c r="K72" s="19">
        <v>805</v>
      </c>
      <c r="L72" s="19"/>
      <c r="M72" s="19"/>
      <c r="N72" s="19"/>
      <c r="O72" s="19">
        <v>688.17</v>
      </c>
      <c r="P72" s="19"/>
      <c r="Q72" s="19"/>
      <c r="R72" s="19">
        <v>3523.18</v>
      </c>
      <c r="S72" s="8">
        <v>1761.6</v>
      </c>
      <c r="T72" s="9">
        <f>SUM(D72:S72)</f>
        <v>21122.21</v>
      </c>
    </row>
    <row r="73" spans="1:20" s="6" customFormat="1" x14ac:dyDescent="0.25">
      <c r="A73" s="11" t="s">
        <v>68</v>
      </c>
      <c r="B73" s="17">
        <v>44118</v>
      </c>
      <c r="C73" s="5">
        <v>1064</v>
      </c>
      <c r="D73" s="19">
        <v>31587.83</v>
      </c>
      <c r="E73" s="19">
        <v>11929.55</v>
      </c>
      <c r="F73" s="19">
        <v>97621.31</v>
      </c>
      <c r="G73" s="19">
        <v>17244.66</v>
      </c>
      <c r="H73" s="19">
        <v>7953.04</v>
      </c>
      <c r="I73" s="19">
        <v>7823.22</v>
      </c>
      <c r="J73" s="19"/>
      <c r="K73" s="19">
        <v>842.84</v>
      </c>
      <c r="L73" s="19">
        <v>7.9</v>
      </c>
      <c r="M73" s="19">
        <v>705</v>
      </c>
      <c r="N73" s="19"/>
      <c r="O73" s="19">
        <v>25594.55</v>
      </c>
      <c r="P73" s="19">
        <v>1020</v>
      </c>
      <c r="Q73" s="19">
        <v>17571.61</v>
      </c>
      <c r="R73" s="19"/>
      <c r="S73" s="8"/>
      <c r="T73" s="9">
        <f>SUM(D73:S73)</f>
        <v>219901.51</v>
      </c>
    </row>
    <row r="74" spans="1:20" s="6" customFormat="1" x14ac:dyDescent="0.25">
      <c r="A74" s="11" t="s">
        <v>69</v>
      </c>
      <c r="B74" s="17">
        <v>44152</v>
      </c>
      <c r="C74" s="5">
        <v>109</v>
      </c>
      <c r="D74" s="19">
        <v>15480.62</v>
      </c>
      <c r="E74" s="19">
        <v>21317.62</v>
      </c>
      <c r="F74" s="19">
        <v>75626.720000000001</v>
      </c>
      <c r="G74" s="19">
        <v>18652.88</v>
      </c>
      <c r="H74" s="19">
        <v>7613.43</v>
      </c>
      <c r="I74" s="19">
        <v>9605.59</v>
      </c>
      <c r="J74" s="19"/>
      <c r="K74" s="19">
        <v>1777.44</v>
      </c>
      <c r="L74" s="19"/>
      <c r="M74" s="19">
        <v>3045.39</v>
      </c>
      <c r="N74" s="19"/>
      <c r="O74" s="19">
        <v>22940.27</v>
      </c>
      <c r="P74" s="19">
        <v>981</v>
      </c>
      <c r="Q74" s="19">
        <v>28708.01</v>
      </c>
      <c r="R74" s="19">
        <v>36583.480000000003</v>
      </c>
      <c r="S74" s="8">
        <v>19817.73</v>
      </c>
      <c r="T74" s="9">
        <f t="shared" ref="T74:T79" si="8">SUM(D74:S74)</f>
        <v>262150.18</v>
      </c>
    </row>
    <row r="75" spans="1:20" s="6" customFormat="1" x14ac:dyDescent="0.25">
      <c r="A75" s="11" t="s">
        <v>70</v>
      </c>
      <c r="B75" s="17">
        <v>44103</v>
      </c>
      <c r="C75" s="5">
        <v>35</v>
      </c>
      <c r="D75" s="19">
        <v>1438.94</v>
      </c>
      <c r="E75" s="19">
        <v>5071.63</v>
      </c>
      <c r="F75" s="19">
        <v>5783.41</v>
      </c>
      <c r="G75" s="19">
        <v>1890.27</v>
      </c>
      <c r="H75" s="19">
        <v>943.56</v>
      </c>
      <c r="I75" s="19">
        <v>896.39</v>
      </c>
      <c r="J75" s="19"/>
      <c r="K75" s="19"/>
      <c r="L75" s="19">
        <v>1.2</v>
      </c>
      <c r="M75" s="19">
        <v>356.5</v>
      </c>
      <c r="N75" s="19"/>
      <c r="O75" s="19">
        <v>2550.16</v>
      </c>
      <c r="P75" s="19">
        <v>350</v>
      </c>
      <c r="Q75" s="19">
        <v>2870.6</v>
      </c>
      <c r="R75" s="19">
        <v>4441.67</v>
      </c>
      <c r="S75" s="8">
        <v>2449.81</v>
      </c>
      <c r="T75" s="9">
        <f t="shared" si="8"/>
        <v>29044.139999999996</v>
      </c>
    </row>
    <row r="76" spans="1:20" s="6" customFormat="1" x14ac:dyDescent="0.25">
      <c r="A76" s="11" t="s">
        <v>71</v>
      </c>
      <c r="B76" s="17">
        <v>44102</v>
      </c>
      <c r="C76" s="5">
        <v>45</v>
      </c>
      <c r="D76" s="19">
        <v>3881.53</v>
      </c>
      <c r="E76" s="19">
        <v>6763.96</v>
      </c>
      <c r="F76" s="19">
        <v>22175.94</v>
      </c>
      <c r="G76" s="19">
        <v>5631.48</v>
      </c>
      <c r="H76" s="19">
        <v>1908.98</v>
      </c>
      <c r="I76" s="19">
        <v>3547.56</v>
      </c>
      <c r="J76" s="19"/>
      <c r="K76" s="19">
        <v>32.4</v>
      </c>
      <c r="L76" s="19"/>
      <c r="M76" s="19">
        <v>763.62</v>
      </c>
      <c r="N76" s="19"/>
      <c r="O76" s="19">
        <v>5940.98</v>
      </c>
      <c r="P76" s="19"/>
      <c r="Q76" s="19"/>
      <c r="R76" s="19">
        <v>8852.19</v>
      </c>
      <c r="S76" s="8">
        <v>6130.41</v>
      </c>
      <c r="T76" s="9">
        <f t="shared" si="8"/>
        <v>65629.050000000017</v>
      </c>
    </row>
    <row r="77" spans="1:20" s="6" customFormat="1" x14ac:dyDescent="0.25">
      <c r="A77" s="11" t="s">
        <v>72</v>
      </c>
      <c r="B77" s="17">
        <v>44076</v>
      </c>
      <c r="C77" s="5">
        <v>4</v>
      </c>
      <c r="D77" s="19">
        <v>45.75</v>
      </c>
      <c r="E77" s="19">
        <v>73.87</v>
      </c>
      <c r="F77" s="19">
        <v>250.87</v>
      </c>
      <c r="G77" s="19">
        <v>46.13</v>
      </c>
      <c r="H77" s="19">
        <v>30</v>
      </c>
      <c r="I77" s="19">
        <v>49.27</v>
      </c>
      <c r="J77" s="19"/>
      <c r="K77" s="19"/>
      <c r="L77" s="19"/>
      <c r="M77" s="19">
        <v>10.130000000000001</v>
      </c>
      <c r="N77" s="19"/>
      <c r="O77" s="19">
        <v>75.87</v>
      </c>
      <c r="P77" s="19">
        <v>52</v>
      </c>
      <c r="Q77" s="19">
        <v>82.2</v>
      </c>
      <c r="R77" s="19">
        <v>117.64</v>
      </c>
      <c r="S77" s="8">
        <v>118.83</v>
      </c>
      <c r="T77" s="9">
        <f t="shared" si="8"/>
        <v>952.56000000000006</v>
      </c>
    </row>
    <row r="78" spans="1:20" s="6" customFormat="1" x14ac:dyDescent="0.25">
      <c r="A78" s="11" t="s">
        <v>73</v>
      </c>
      <c r="B78" s="17">
        <v>44071</v>
      </c>
      <c r="C78" s="5">
        <v>46</v>
      </c>
      <c r="D78" s="19">
        <v>3844.29</v>
      </c>
      <c r="E78" s="19">
        <v>4211.3599999999997</v>
      </c>
      <c r="F78" s="19">
        <v>13098.08</v>
      </c>
      <c r="G78" s="19">
        <v>2277.6</v>
      </c>
      <c r="H78" s="19">
        <v>1789.54</v>
      </c>
      <c r="I78" s="19">
        <v>1753.11</v>
      </c>
      <c r="J78" s="19"/>
      <c r="K78" s="19">
        <v>1536.86</v>
      </c>
      <c r="L78" s="19"/>
      <c r="M78" s="19"/>
      <c r="N78" s="19"/>
      <c r="O78" s="19">
        <v>3741.85</v>
      </c>
      <c r="P78" s="19"/>
      <c r="Q78" s="19"/>
      <c r="R78" s="19">
        <v>5656.15</v>
      </c>
      <c r="S78" s="8">
        <v>3986.14</v>
      </c>
      <c r="T78" s="9">
        <f t="shared" si="8"/>
        <v>41894.979999999996</v>
      </c>
    </row>
    <row r="79" spans="1:20" s="6" customFormat="1" x14ac:dyDescent="0.25">
      <c r="A79" s="11" t="s">
        <v>74</v>
      </c>
      <c r="B79" s="17">
        <v>44061</v>
      </c>
      <c r="C79" s="5">
        <v>61</v>
      </c>
      <c r="D79" s="7">
        <v>5106.46</v>
      </c>
      <c r="E79" s="7">
        <v>4844.6899999999996</v>
      </c>
      <c r="F79" s="7">
        <v>22811.88</v>
      </c>
      <c r="G79" s="7">
        <v>3097.39</v>
      </c>
      <c r="H79" s="7">
        <v>1674.26</v>
      </c>
      <c r="I79" s="7">
        <v>1938.02</v>
      </c>
      <c r="J79" s="7"/>
      <c r="K79" s="7">
        <v>2046.17</v>
      </c>
      <c r="L79" s="7"/>
      <c r="M79" s="7"/>
      <c r="N79" s="7">
        <v>4101.97</v>
      </c>
      <c r="O79" s="7">
        <v>5807.62</v>
      </c>
      <c r="P79" s="7">
        <v>122</v>
      </c>
      <c r="Q79" s="7"/>
      <c r="R79" s="7">
        <v>9050.9500000000007</v>
      </c>
      <c r="S79" s="8">
        <v>5440.55</v>
      </c>
      <c r="T79" s="9">
        <f t="shared" si="8"/>
        <v>66041.960000000006</v>
      </c>
    </row>
    <row r="80" spans="1:20" s="6" customFormat="1" x14ac:dyDescent="0.25">
      <c r="A80" s="11" t="s">
        <v>75</v>
      </c>
      <c r="B80" s="17">
        <v>44099</v>
      </c>
      <c r="C80" s="5">
        <v>24</v>
      </c>
      <c r="D80" s="19">
        <v>1742.03</v>
      </c>
      <c r="E80" s="19">
        <v>1699.21</v>
      </c>
      <c r="F80" s="19">
        <v>6397</v>
      </c>
      <c r="G80" s="19"/>
      <c r="H80" s="19">
        <v>428.37</v>
      </c>
      <c r="I80" s="19">
        <v>728.24</v>
      </c>
      <c r="J80" s="19"/>
      <c r="K80" s="19">
        <v>1266.7</v>
      </c>
      <c r="L80" s="19">
        <v>0.72</v>
      </c>
      <c r="M80" s="19">
        <v>222.76</v>
      </c>
      <c r="N80" s="19"/>
      <c r="O80" s="19">
        <v>1806.17</v>
      </c>
      <c r="P80" s="19">
        <v>192</v>
      </c>
      <c r="Q80" s="19">
        <v>2025.5</v>
      </c>
      <c r="R80" s="19">
        <v>3134.2</v>
      </c>
      <c r="S80" s="8">
        <v>1811.04</v>
      </c>
      <c r="T80" s="9">
        <f>SUM(D80:S80)</f>
        <v>21453.940000000002</v>
      </c>
    </row>
    <row r="81" spans="1:20" s="6" customFormat="1" x14ac:dyDescent="0.25">
      <c r="A81" s="11" t="s">
        <v>76</v>
      </c>
      <c r="B81" s="17">
        <v>44062</v>
      </c>
      <c r="C81" s="5">
        <v>63</v>
      </c>
      <c r="D81" s="7">
        <v>3224.22</v>
      </c>
      <c r="E81" s="7">
        <v>3435.65</v>
      </c>
      <c r="F81" s="7">
        <v>16346.26</v>
      </c>
      <c r="G81" s="7">
        <v>2431.38</v>
      </c>
      <c r="H81" s="7">
        <v>594.62</v>
      </c>
      <c r="I81" s="7">
        <v>1291.52</v>
      </c>
      <c r="J81" s="7"/>
      <c r="K81" s="7"/>
      <c r="L81" s="7">
        <v>219.58</v>
      </c>
      <c r="M81" s="7">
        <v>397.32</v>
      </c>
      <c r="N81" s="7"/>
      <c r="O81" s="7">
        <v>4020.08</v>
      </c>
      <c r="P81" s="7">
        <v>504</v>
      </c>
      <c r="Q81" s="7">
        <v>4184.24</v>
      </c>
      <c r="R81" s="7">
        <v>6550.97</v>
      </c>
      <c r="S81" s="8">
        <v>6084.96</v>
      </c>
      <c r="T81" s="9">
        <f>SUM(D81:S81)</f>
        <v>49284.800000000003</v>
      </c>
    </row>
    <row r="82" spans="1:20" s="6" customFormat="1" x14ac:dyDescent="0.25">
      <c r="A82" s="11" t="s">
        <v>77</v>
      </c>
      <c r="B82" s="17">
        <v>44096</v>
      </c>
      <c r="C82" s="5">
        <v>20</v>
      </c>
      <c r="D82" s="19">
        <v>1883.16</v>
      </c>
      <c r="E82" s="19">
        <v>1697.94</v>
      </c>
      <c r="F82" s="19">
        <v>6930.69</v>
      </c>
      <c r="G82" s="19">
        <v>923.44</v>
      </c>
      <c r="H82" s="19">
        <v>608.1</v>
      </c>
      <c r="I82" s="19">
        <v>776.76</v>
      </c>
      <c r="J82" s="19"/>
      <c r="K82" s="19">
        <v>427.51</v>
      </c>
      <c r="L82" s="19"/>
      <c r="M82" s="19"/>
      <c r="N82" s="19">
        <v>1560.82</v>
      </c>
      <c r="O82" s="19">
        <v>2127.6999999999998</v>
      </c>
      <c r="P82" s="19">
        <v>180</v>
      </c>
      <c r="Q82" s="19">
        <v>4319.57</v>
      </c>
      <c r="R82" s="19">
        <v>3613.02</v>
      </c>
      <c r="S82" s="8">
        <v>2011</v>
      </c>
      <c r="T82" s="9">
        <f>SUM(D82:S82)</f>
        <v>27059.710000000003</v>
      </c>
    </row>
    <row r="83" spans="1:20" s="6" customFormat="1" x14ac:dyDescent="0.25">
      <c r="A83" s="11" t="s">
        <v>78</v>
      </c>
      <c r="B83" s="17">
        <v>44069</v>
      </c>
      <c r="C83" s="5">
        <v>169</v>
      </c>
      <c r="D83" s="19">
        <v>25569.47</v>
      </c>
      <c r="E83" s="19">
        <v>24568.16</v>
      </c>
      <c r="F83" s="19">
        <v>73886.25</v>
      </c>
      <c r="G83" s="19">
        <v>12784.75</v>
      </c>
      <c r="H83" s="19">
        <v>7545.16</v>
      </c>
      <c r="I83" s="19">
        <v>8565.76</v>
      </c>
      <c r="J83" s="19"/>
      <c r="K83" s="19">
        <v>6655.96</v>
      </c>
      <c r="L83" s="19">
        <v>1656.7</v>
      </c>
      <c r="M83" s="19"/>
      <c r="N83" s="19"/>
      <c r="O83" s="19">
        <v>20068.099999999999</v>
      </c>
      <c r="P83" s="19"/>
      <c r="Q83" s="19"/>
      <c r="R83" s="19">
        <v>31906.39</v>
      </c>
      <c r="S83" s="8">
        <v>18333.27</v>
      </c>
      <c r="T83" s="9">
        <f>SUM(D83:S83)</f>
        <v>231539.97</v>
      </c>
    </row>
    <row r="84" spans="1:20" s="6" customFormat="1" x14ac:dyDescent="0.25">
      <c r="A84" s="11" t="s">
        <v>79</v>
      </c>
      <c r="B84" s="17">
        <v>44131</v>
      </c>
      <c r="C84" s="5">
        <v>47</v>
      </c>
      <c r="D84" s="7">
        <v>2404.98</v>
      </c>
      <c r="E84" s="7">
        <v>1833.3</v>
      </c>
      <c r="F84" s="7">
        <v>7964.05</v>
      </c>
      <c r="G84" s="7">
        <v>1458.76</v>
      </c>
      <c r="H84" s="7">
        <v>788.52</v>
      </c>
      <c r="I84" s="7">
        <v>727.8</v>
      </c>
      <c r="J84" s="7"/>
      <c r="K84" s="7">
        <v>1971.3</v>
      </c>
      <c r="L84" s="7">
        <v>2.4</v>
      </c>
      <c r="M84" s="7">
        <v>335.13</v>
      </c>
      <c r="N84" s="7"/>
      <c r="O84" s="7">
        <v>2561</v>
      </c>
      <c r="P84" s="7">
        <v>470</v>
      </c>
      <c r="Q84" s="7">
        <v>3056.43</v>
      </c>
      <c r="R84" s="7">
        <v>4155.55</v>
      </c>
      <c r="S84" s="8">
        <v>2759.3</v>
      </c>
      <c r="T84" s="9">
        <f>SUM(D84:S84)</f>
        <v>30488.52</v>
      </c>
    </row>
    <row r="85" spans="1:20" s="6" customFormat="1" x14ac:dyDescent="0.25">
      <c r="A85" s="11" t="s">
        <v>80</v>
      </c>
      <c r="B85" s="17">
        <v>44064</v>
      </c>
      <c r="C85" s="5">
        <v>0</v>
      </c>
      <c r="D85" s="19">
        <v>0</v>
      </c>
      <c r="E85" s="19">
        <v>0</v>
      </c>
      <c r="F85" s="19">
        <v>0</v>
      </c>
      <c r="G85" s="19">
        <v>0</v>
      </c>
      <c r="H85" s="19">
        <v>0</v>
      </c>
      <c r="I85" s="19">
        <v>0</v>
      </c>
      <c r="J85" s="19">
        <v>0</v>
      </c>
      <c r="K85" s="19">
        <v>0</v>
      </c>
      <c r="L85" s="19">
        <v>0</v>
      </c>
      <c r="M85" s="19">
        <v>0</v>
      </c>
      <c r="N85" s="19">
        <v>0</v>
      </c>
      <c r="O85" s="19">
        <v>0</v>
      </c>
      <c r="P85" s="19">
        <v>0</v>
      </c>
      <c r="Q85" s="19">
        <v>0</v>
      </c>
      <c r="R85" s="19">
        <v>0</v>
      </c>
      <c r="S85" s="8">
        <v>0</v>
      </c>
      <c r="T85" s="9">
        <v>0</v>
      </c>
    </row>
    <row r="86" spans="1:20" s="6" customFormat="1" x14ac:dyDescent="0.25">
      <c r="A86" s="11" t="s">
        <v>81</v>
      </c>
      <c r="B86" s="17">
        <v>44070</v>
      </c>
      <c r="C86" s="5">
        <v>150</v>
      </c>
      <c r="D86" s="7">
        <v>16451.88</v>
      </c>
      <c r="E86" s="7">
        <v>11192.59</v>
      </c>
      <c r="F86" s="7">
        <v>87721.56</v>
      </c>
      <c r="G86" s="7">
        <v>7821.58</v>
      </c>
      <c r="H86" s="7">
        <v>6742.58</v>
      </c>
      <c r="I86" s="7">
        <v>2389.52</v>
      </c>
      <c r="J86" s="7"/>
      <c r="K86" s="7"/>
      <c r="L86" s="7">
        <v>636.1</v>
      </c>
      <c r="M86" s="7"/>
      <c r="N86" s="7">
        <v>6607.81</v>
      </c>
      <c r="O86" s="7">
        <v>19204.89</v>
      </c>
      <c r="P86" s="7">
        <v>1500</v>
      </c>
      <c r="Q86" s="7">
        <v>20886.689999999999</v>
      </c>
      <c r="R86" s="7">
        <v>32390.07</v>
      </c>
      <c r="S86" s="8">
        <v>18294.96</v>
      </c>
      <c r="T86" s="9">
        <f t="shared" ref="T86:T93" si="9">SUM(D86:S86)</f>
        <v>231840.23</v>
      </c>
    </row>
    <row r="87" spans="1:20" s="6" customFormat="1" x14ac:dyDescent="0.25">
      <c r="A87" s="11" t="s">
        <v>82</v>
      </c>
      <c r="B87" s="17">
        <v>44090</v>
      </c>
      <c r="C87" s="5">
        <v>68</v>
      </c>
      <c r="D87" s="19">
        <v>1526.19</v>
      </c>
      <c r="E87" s="19">
        <v>6057.59</v>
      </c>
      <c r="F87" s="19">
        <v>7091.55</v>
      </c>
      <c r="G87" s="19">
        <v>1701.37</v>
      </c>
      <c r="H87" s="19">
        <v>1251.03</v>
      </c>
      <c r="I87" s="19">
        <v>1587.65</v>
      </c>
      <c r="J87" s="19"/>
      <c r="K87" s="19">
        <v>39.79</v>
      </c>
      <c r="L87" s="19"/>
      <c r="M87" s="19">
        <v>212.71</v>
      </c>
      <c r="N87" s="19"/>
      <c r="O87" s="19">
        <v>2677.22</v>
      </c>
      <c r="P87" s="19">
        <v>172</v>
      </c>
      <c r="Q87" s="19">
        <v>2798.9</v>
      </c>
      <c r="R87" s="19">
        <v>3998.57</v>
      </c>
      <c r="S87" s="8">
        <v>2859.25</v>
      </c>
      <c r="T87" s="9">
        <f t="shared" si="9"/>
        <v>31973.820000000003</v>
      </c>
    </row>
    <row r="88" spans="1:20" s="6" customFormat="1" x14ac:dyDescent="0.25">
      <c r="A88" s="11" t="s">
        <v>83</v>
      </c>
      <c r="B88" s="17">
        <v>44097</v>
      </c>
      <c r="C88" s="5">
        <v>49</v>
      </c>
      <c r="D88" s="19">
        <v>3595.64</v>
      </c>
      <c r="E88" s="19">
        <v>3152.48</v>
      </c>
      <c r="F88" s="19">
        <v>17465.23</v>
      </c>
      <c r="G88" s="19">
        <v>1532.14</v>
      </c>
      <c r="H88" s="19">
        <v>867.03</v>
      </c>
      <c r="I88" s="19">
        <v>947.13</v>
      </c>
      <c r="J88" s="19"/>
      <c r="K88" s="19"/>
      <c r="L88" s="19">
        <v>317.93</v>
      </c>
      <c r="M88" s="19"/>
      <c r="N88" s="19"/>
      <c r="O88" s="19">
        <v>7148.78</v>
      </c>
      <c r="P88" s="19">
        <v>98</v>
      </c>
      <c r="Q88" s="19"/>
      <c r="R88" s="19">
        <v>10982.74</v>
      </c>
      <c r="S88" s="8">
        <v>6472.3</v>
      </c>
      <c r="T88" s="9">
        <f t="shared" si="9"/>
        <v>52579.4</v>
      </c>
    </row>
    <row r="89" spans="1:20" s="6" customFormat="1" x14ac:dyDescent="0.25">
      <c r="A89" s="11" t="s">
        <v>84</v>
      </c>
      <c r="B89" s="17">
        <v>44077</v>
      </c>
      <c r="C89" s="5">
        <v>38</v>
      </c>
      <c r="D89" s="19">
        <v>5262.89</v>
      </c>
      <c r="E89" s="19">
        <v>4207.0600000000004</v>
      </c>
      <c r="F89" s="19">
        <v>20447.71</v>
      </c>
      <c r="G89" s="19">
        <v>4055.06</v>
      </c>
      <c r="H89" s="19">
        <v>3127.58</v>
      </c>
      <c r="I89" s="19">
        <v>754.97</v>
      </c>
      <c r="J89" s="19">
        <v>1639.27</v>
      </c>
      <c r="K89" s="19">
        <v>2746.93</v>
      </c>
      <c r="L89" s="19">
        <v>3113.5</v>
      </c>
      <c r="M89" s="19">
        <v>215.73</v>
      </c>
      <c r="N89" s="19">
        <v>130.37</v>
      </c>
      <c r="O89" s="19">
        <v>5901.19</v>
      </c>
      <c r="P89" s="19"/>
      <c r="Q89" s="19"/>
      <c r="R89" s="19">
        <v>9185.83</v>
      </c>
      <c r="S89" s="8">
        <v>5124.9799999999996</v>
      </c>
      <c r="T89" s="9">
        <f t="shared" si="9"/>
        <v>65913.070000000007</v>
      </c>
    </row>
    <row r="90" spans="1:20" s="6" customFormat="1" x14ac:dyDescent="0.25">
      <c r="A90" s="11" t="s">
        <v>85</v>
      </c>
      <c r="B90" s="17">
        <v>44126</v>
      </c>
      <c r="C90" s="5">
        <v>17</v>
      </c>
      <c r="D90" s="19">
        <v>1413.86</v>
      </c>
      <c r="E90" s="19">
        <v>1332.85</v>
      </c>
      <c r="F90" s="19">
        <v>9375.9500000000007</v>
      </c>
      <c r="G90" s="19">
        <v>1263.27</v>
      </c>
      <c r="H90" s="19">
        <v>463.59</v>
      </c>
      <c r="I90" s="19">
        <v>1010.9</v>
      </c>
      <c r="J90" s="19"/>
      <c r="K90" s="19">
        <v>360</v>
      </c>
      <c r="L90" s="19">
        <v>510</v>
      </c>
      <c r="M90" s="19">
        <v>0</v>
      </c>
      <c r="N90" s="19">
        <v>41.28</v>
      </c>
      <c r="O90" s="19">
        <v>2301.39</v>
      </c>
      <c r="P90" s="19">
        <v>85</v>
      </c>
      <c r="Q90" s="19">
        <v>2480.9299999999998</v>
      </c>
      <c r="R90" s="19">
        <v>3582.6</v>
      </c>
      <c r="S90" s="8">
        <v>2029.28</v>
      </c>
      <c r="T90" s="9">
        <f t="shared" si="9"/>
        <v>26250.899999999998</v>
      </c>
    </row>
    <row r="91" spans="1:20" s="6" customFormat="1" x14ac:dyDescent="0.25">
      <c r="A91" s="11" t="s">
        <v>86</v>
      </c>
      <c r="B91" s="17">
        <v>44057</v>
      </c>
      <c r="C91" s="5">
        <v>46</v>
      </c>
      <c r="D91" s="7">
        <v>2587.59</v>
      </c>
      <c r="E91" s="7">
        <v>4857.04</v>
      </c>
      <c r="F91" s="7">
        <v>11580.52</v>
      </c>
      <c r="G91" s="7">
        <v>1424.05</v>
      </c>
      <c r="H91" s="7">
        <v>1590.71</v>
      </c>
      <c r="I91" s="7">
        <v>848.4</v>
      </c>
      <c r="J91" s="7">
        <v>0</v>
      </c>
      <c r="K91" s="7">
        <v>0</v>
      </c>
      <c r="L91" s="7">
        <v>2051.85</v>
      </c>
      <c r="M91" s="7">
        <v>0</v>
      </c>
      <c r="N91" s="7">
        <v>0</v>
      </c>
      <c r="O91" s="7">
        <v>3744.04</v>
      </c>
      <c r="P91" s="7">
        <v>1196</v>
      </c>
      <c r="Q91" s="7">
        <v>3740.7</v>
      </c>
      <c r="R91" s="7">
        <v>5781.56</v>
      </c>
      <c r="S91" s="8">
        <v>3557.78</v>
      </c>
      <c r="T91" s="9">
        <f t="shared" si="9"/>
        <v>42960.24</v>
      </c>
    </row>
    <row r="92" spans="1:20" s="6" customFormat="1" x14ac:dyDescent="0.25">
      <c r="A92" s="11" t="s">
        <v>87</v>
      </c>
      <c r="B92" s="17">
        <v>44059</v>
      </c>
      <c r="C92" s="5">
        <v>81</v>
      </c>
      <c r="D92" s="19">
        <v>8372.6299999999992</v>
      </c>
      <c r="E92" s="19">
        <v>14823.65</v>
      </c>
      <c r="F92" s="19">
        <v>40353.25</v>
      </c>
      <c r="G92" s="19">
        <v>6725.53</v>
      </c>
      <c r="H92" s="19">
        <v>1852.94</v>
      </c>
      <c r="I92" s="19">
        <v>2196.11</v>
      </c>
      <c r="J92" s="19">
        <v>4336.6099999999997</v>
      </c>
      <c r="K92" s="19">
        <v>4614.43</v>
      </c>
      <c r="L92" s="19">
        <v>0.9</v>
      </c>
      <c r="M92" s="19">
        <v>549.01</v>
      </c>
      <c r="N92" s="19"/>
      <c r="O92" s="19">
        <v>12774.9</v>
      </c>
      <c r="P92" s="19">
        <v>729</v>
      </c>
      <c r="Q92" s="19">
        <v>12581.76</v>
      </c>
      <c r="R92" s="19">
        <v>19443.37</v>
      </c>
      <c r="S92" s="8">
        <v>10855.71</v>
      </c>
      <c r="T92" s="9">
        <f t="shared" si="9"/>
        <v>140209.79999999996</v>
      </c>
    </row>
    <row r="93" spans="1:20" s="6" customFormat="1" x14ac:dyDescent="0.25">
      <c r="A93" s="11" t="s">
        <v>147</v>
      </c>
      <c r="B93" s="17">
        <v>44059</v>
      </c>
      <c r="C93" s="5">
        <v>13</v>
      </c>
      <c r="D93" s="19">
        <v>1016.72</v>
      </c>
      <c r="E93" s="19">
        <v>1483.42</v>
      </c>
      <c r="F93" s="19">
        <v>5436.77</v>
      </c>
      <c r="G93" s="19">
        <v>625.04</v>
      </c>
      <c r="H93" s="19">
        <v>219.17</v>
      </c>
      <c r="I93" s="19">
        <v>208.34</v>
      </c>
      <c r="J93" s="19"/>
      <c r="K93" s="19">
        <v>239.3</v>
      </c>
      <c r="L93" s="19"/>
      <c r="M93" s="19">
        <v>25.01</v>
      </c>
      <c r="N93" s="19"/>
      <c r="O93" s="19">
        <v>1277.49</v>
      </c>
      <c r="P93" s="19">
        <v>390</v>
      </c>
      <c r="Q93" s="19">
        <v>1383.68</v>
      </c>
      <c r="R93" s="19">
        <v>2153.52</v>
      </c>
      <c r="S93" s="8">
        <v>1258.73</v>
      </c>
      <c r="T93" s="9">
        <f t="shared" si="9"/>
        <v>15717.19</v>
      </c>
    </row>
    <row r="94" spans="1:20" s="6" customFormat="1" x14ac:dyDescent="0.25">
      <c r="A94" s="11" t="s">
        <v>88</v>
      </c>
      <c r="B94" s="17">
        <v>44088</v>
      </c>
      <c r="C94" s="5">
        <v>1</v>
      </c>
      <c r="D94" s="19">
        <v>8.91</v>
      </c>
      <c r="E94" s="19">
        <v>8.25</v>
      </c>
      <c r="F94" s="19">
        <v>38.979999999999997</v>
      </c>
      <c r="G94" s="19">
        <v>7.23</v>
      </c>
      <c r="H94" s="19">
        <v>5.84</v>
      </c>
      <c r="I94" s="19">
        <v>4.8499999999999996</v>
      </c>
      <c r="J94" s="19"/>
      <c r="K94" s="19">
        <v>6.35</v>
      </c>
      <c r="L94" s="19">
        <v>6.14</v>
      </c>
      <c r="M94" s="19">
        <v>4.38</v>
      </c>
      <c r="N94" s="19">
        <v>6.72</v>
      </c>
      <c r="O94" s="19">
        <v>14.73</v>
      </c>
      <c r="P94" s="19">
        <v>6</v>
      </c>
      <c r="Q94" s="19">
        <v>15.87</v>
      </c>
      <c r="R94" s="19">
        <v>22.7</v>
      </c>
      <c r="S94" s="8">
        <v>26.35</v>
      </c>
      <c r="T94" s="9">
        <f>SUM(D94:S94)</f>
        <v>183.29999999999998</v>
      </c>
    </row>
    <row r="95" spans="1:20" s="6" customFormat="1" x14ac:dyDescent="0.25">
      <c r="A95" s="11" t="s">
        <v>89</v>
      </c>
      <c r="B95" s="17">
        <v>44068</v>
      </c>
      <c r="C95" s="5">
        <v>87</v>
      </c>
      <c r="D95" s="7">
        <v>6293.92</v>
      </c>
      <c r="E95" s="7">
        <v>6389.82</v>
      </c>
      <c r="F95" s="7">
        <v>27245.78</v>
      </c>
      <c r="G95" s="7">
        <v>4129.4799999999996</v>
      </c>
      <c r="H95" s="7">
        <v>2576.92</v>
      </c>
      <c r="I95" s="7">
        <v>2114.92</v>
      </c>
      <c r="J95" s="7"/>
      <c r="K95" s="7">
        <v>1995.59</v>
      </c>
      <c r="L95" s="7"/>
      <c r="M95" s="7">
        <v>361.11</v>
      </c>
      <c r="N95" s="7"/>
      <c r="O95" s="7">
        <v>7416.38</v>
      </c>
      <c r="P95" s="7">
        <v>1097</v>
      </c>
      <c r="Q95" s="7">
        <v>8011.68</v>
      </c>
      <c r="R95" s="7">
        <v>11997.83</v>
      </c>
      <c r="S95" s="8">
        <v>7216.94</v>
      </c>
      <c r="T95" s="9">
        <f t="shared" ref="T95:T100" si="10">SUM(D95:S95)</f>
        <v>86847.37</v>
      </c>
    </row>
    <row r="96" spans="1:20" s="6" customFormat="1" x14ac:dyDescent="0.25">
      <c r="A96" s="11" t="s">
        <v>90</v>
      </c>
      <c r="B96" s="17">
        <v>44096</v>
      </c>
      <c r="C96" s="5">
        <v>101</v>
      </c>
      <c r="D96" s="19">
        <v>3023.75</v>
      </c>
      <c r="E96" s="19">
        <v>2280.1999999999998</v>
      </c>
      <c r="F96" s="19">
        <v>13433.33</v>
      </c>
      <c r="G96" s="19">
        <v>3197.23</v>
      </c>
      <c r="H96" s="19"/>
      <c r="I96" s="19">
        <v>2746.56</v>
      </c>
      <c r="J96" s="19"/>
      <c r="K96" s="19">
        <v>2730</v>
      </c>
      <c r="L96" s="19">
        <v>13.52</v>
      </c>
      <c r="M96" s="19">
        <v>396.6</v>
      </c>
      <c r="N96" s="19">
        <v>1536.64</v>
      </c>
      <c r="O96" s="19">
        <v>4553.1400000000003</v>
      </c>
      <c r="P96" s="19">
        <v>2424</v>
      </c>
      <c r="Q96" s="19">
        <v>4778.12</v>
      </c>
      <c r="R96" s="19">
        <v>6827.17</v>
      </c>
      <c r="S96" s="8">
        <v>4928.6499999999996</v>
      </c>
      <c r="T96" s="9">
        <f t="shared" si="10"/>
        <v>52868.91</v>
      </c>
    </row>
    <row r="97" spans="1:39" s="6" customFormat="1" x14ac:dyDescent="0.25">
      <c r="A97" s="11" t="s">
        <v>91</v>
      </c>
      <c r="B97" s="17">
        <v>44103</v>
      </c>
      <c r="C97" s="5">
        <v>53</v>
      </c>
      <c r="D97" s="19">
        <v>1281.3</v>
      </c>
      <c r="E97" s="19">
        <v>875.48</v>
      </c>
      <c r="F97" s="19">
        <v>5793.72</v>
      </c>
      <c r="G97" s="19">
        <v>590.08000000000004</v>
      </c>
      <c r="H97" s="19">
        <v>420.11</v>
      </c>
      <c r="I97" s="19">
        <v>603.49</v>
      </c>
      <c r="J97" s="19"/>
      <c r="K97" s="19"/>
      <c r="L97" s="19">
        <v>2.5</v>
      </c>
      <c r="M97" s="19">
        <v>189.07</v>
      </c>
      <c r="N97" s="19">
        <v>735.1</v>
      </c>
      <c r="O97" s="19">
        <v>1604.58</v>
      </c>
      <c r="P97" s="19">
        <v>528</v>
      </c>
      <c r="Q97" s="19">
        <v>2204.4899999999998</v>
      </c>
      <c r="R97" s="19">
        <v>2643.08</v>
      </c>
      <c r="S97" s="8">
        <v>2064.5300000000002</v>
      </c>
      <c r="T97" s="9">
        <f t="shared" si="10"/>
        <v>19535.53</v>
      </c>
    </row>
    <row r="98" spans="1:39" s="6" customFormat="1" x14ac:dyDescent="0.25">
      <c r="A98" s="11" t="s">
        <v>92</v>
      </c>
      <c r="B98" s="17">
        <v>44062</v>
      </c>
      <c r="C98" s="5">
        <v>75</v>
      </c>
      <c r="D98" s="19">
        <v>11113.31</v>
      </c>
      <c r="E98" s="19">
        <v>6649.79</v>
      </c>
      <c r="F98" s="19">
        <v>47641.63</v>
      </c>
      <c r="G98" s="19">
        <v>7560.71</v>
      </c>
      <c r="H98" s="19">
        <v>5465.58</v>
      </c>
      <c r="I98" s="19">
        <v>4736.8</v>
      </c>
      <c r="J98" s="19"/>
      <c r="K98" s="19">
        <v>7650.8</v>
      </c>
      <c r="L98" s="19">
        <v>0.9</v>
      </c>
      <c r="M98" s="19">
        <v>0</v>
      </c>
      <c r="N98" s="19">
        <v>7378.56</v>
      </c>
      <c r="O98" s="19">
        <v>14443.65</v>
      </c>
      <c r="P98" s="19">
        <v>375</v>
      </c>
      <c r="Q98" s="19">
        <v>14718.23</v>
      </c>
      <c r="R98" s="19">
        <v>22733.25</v>
      </c>
      <c r="S98" s="8">
        <v>12416.66</v>
      </c>
      <c r="T98" s="9">
        <f t="shared" si="10"/>
        <v>162884.87</v>
      </c>
    </row>
    <row r="99" spans="1:39" s="6" customFormat="1" x14ac:dyDescent="0.25">
      <c r="A99" s="11" t="s">
        <v>93</v>
      </c>
      <c r="B99" s="17">
        <v>18493</v>
      </c>
      <c r="C99" s="5">
        <v>45</v>
      </c>
      <c r="D99" s="7">
        <v>1601.41</v>
      </c>
      <c r="E99" s="7">
        <v>787.59</v>
      </c>
      <c r="F99" s="7">
        <v>8256.5300000000007</v>
      </c>
      <c r="G99" s="7">
        <v>1575.17</v>
      </c>
      <c r="H99" s="7">
        <v>1312.64</v>
      </c>
      <c r="I99" s="7">
        <v>1543.67</v>
      </c>
      <c r="J99" s="7"/>
      <c r="K99" s="7">
        <v>42.72</v>
      </c>
      <c r="L99" s="7"/>
      <c r="M99" s="7">
        <v>249.43</v>
      </c>
      <c r="N99" s="7">
        <v>1291.6300000000001</v>
      </c>
      <c r="O99" s="7">
        <v>2223.44</v>
      </c>
      <c r="P99" s="7">
        <v>45</v>
      </c>
      <c r="Q99" s="7"/>
      <c r="R99" s="7">
        <v>3332.14</v>
      </c>
      <c r="S99" s="8">
        <v>2116.1</v>
      </c>
      <c r="T99" s="9">
        <f t="shared" si="10"/>
        <v>24377.469999999998</v>
      </c>
    </row>
    <row r="100" spans="1:39" s="6" customFormat="1" x14ac:dyDescent="0.25">
      <c r="A100" s="11" t="s">
        <v>94</v>
      </c>
      <c r="B100" s="17">
        <v>44062</v>
      </c>
      <c r="C100" s="5">
        <v>96</v>
      </c>
      <c r="D100" s="19">
        <v>5549.85</v>
      </c>
      <c r="E100" s="19">
        <v>5319.98</v>
      </c>
      <c r="F100" s="19">
        <v>25732.37</v>
      </c>
      <c r="G100" s="19">
        <v>5219.29</v>
      </c>
      <c r="H100" s="19">
        <v>1544.52</v>
      </c>
      <c r="I100" s="19">
        <v>955.36</v>
      </c>
      <c r="J100" s="19"/>
      <c r="K100" s="19"/>
      <c r="L100" s="19">
        <v>769.79</v>
      </c>
      <c r="M100" s="19">
        <v>236.53</v>
      </c>
      <c r="N100" s="19"/>
      <c r="O100" s="19">
        <v>6644.39</v>
      </c>
      <c r="P100" s="19">
        <v>264</v>
      </c>
      <c r="Q100" s="19">
        <v>6874</v>
      </c>
      <c r="R100" s="19">
        <v>10528.18</v>
      </c>
      <c r="S100" s="8">
        <v>6498.01</v>
      </c>
      <c r="T100" s="9">
        <f t="shared" si="10"/>
        <v>76136.26999999999</v>
      </c>
    </row>
    <row r="101" spans="1:39" s="6" customFormat="1" x14ac:dyDescent="0.25">
      <c r="A101" s="11" t="s">
        <v>95</v>
      </c>
      <c r="B101" s="17">
        <v>44091</v>
      </c>
      <c r="C101" s="5">
        <v>77</v>
      </c>
      <c r="D101" s="19">
        <v>7417.88</v>
      </c>
      <c r="E101" s="19">
        <v>8634.14</v>
      </c>
      <c r="F101" s="19">
        <v>37786.1</v>
      </c>
      <c r="G101" s="19">
        <v>5233.1899999999996</v>
      </c>
      <c r="H101" s="19"/>
      <c r="I101" s="19">
        <v>632.28</v>
      </c>
      <c r="J101" s="19"/>
      <c r="K101" s="19">
        <v>3357.73</v>
      </c>
      <c r="L101" s="19"/>
      <c r="M101" s="19">
        <v>316.14999999999998</v>
      </c>
      <c r="N101" s="19"/>
      <c r="O101" s="19">
        <v>8975.67</v>
      </c>
      <c r="P101" s="19">
        <v>1213.99</v>
      </c>
      <c r="Q101" s="19">
        <v>10321.06</v>
      </c>
      <c r="R101" s="19">
        <v>14902.16</v>
      </c>
      <c r="S101" s="8">
        <v>10286.77</v>
      </c>
      <c r="T101" s="9">
        <f t="shared" ref="T101:T106" si="11">SUM(D101:S101)</f>
        <v>109077.12000000001</v>
      </c>
    </row>
    <row r="102" spans="1:39" s="6" customFormat="1" x14ac:dyDescent="0.25">
      <c r="A102" s="11" t="s">
        <v>96</v>
      </c>
      <c r="B102" s="17">
        <v>44057</v>
      </c>
      <c r="C102" s="5">
        <v>7</v>
      </c>
      <c r="D102" s="19">
        <v>422.36</v>
      </c>
      <c r="E102" s="19">
        <v>512.38</v>
      </c>
      <c r="F102" s="19">
        <v>1412.5</v>
      </c>
      <c r="G102" s="19">
        <v>294.27</v>
      </c>
      <c r="H102" s="19">
        <v>173.1</v>
      </c>
      <c r="I102" s="19">
        <v>140.9</v>
      </c>
      <c r="J102" s="19">
        <v>0</v>
      </c>
      <c r="K102" s="19">
        <v>29.5</v>
      </c>
      <c r="L102" s="19">
        <v>0</v>
      </c>
      <c r="M102" s="19">
        <v>51.93</v>
      </c>
      <c r="N102" s="19">
        <v>0</v>
      </c>
      <c r="O102" s="19">
        <v>471.09</v>
      </c>
      <c r="P102" s="19">
        <v>49</v>
      </c>
      <c r="Q102" s="19">
        <v>456.14</v>
      </c>
      <c r="R102" s="19">
        <v>698.63</v>
      </c>
      <c r="S102" s="8">
        <v>454.3</v>
      </c>
      <c r="T102" s="9">
        <f t="shared" si="11"/>
        <v>5166.0999999999995</v>
      </c>
    </row>
    <row r="103" spans="1:39" s="6" customFormat="1" x14ac:dyDescent="0.25">
      <c r="A103" s="11" t="s">
        <v>97</v>
      </c>
      <c r="B103" s="17">
        <v>44126</v>
      </c>
      <c r="C103" s="5">
        <v>53</v>
      </c>
      <c r="D103" s="7">
        <v>2098.56</v>
      </c>
      <c r="E103" s="7">
        <v>1290.1099999999999</v>
      </c>
      <c r="F103" s="7">
        <v>9306.08</v>
      </c>
      <c r="G103" s="7">
        <v>1530.92</v>
      </c>
      <c r="H103" s="7">
        <v>774.08</v>
      </c>
      <c r="I103" s="7">
        <v>678.08</v>
      </c>
      <c r="J103" s="7"/>
      <c r="K103" s="7"/>
      <c r="L103" s="7">
        <v>38.4</v>
      </c>
      <c r="M103" s="7">
        <v>13.8</v>
      </c>
      <c r="N103" s="7"/>
      <c r="O103" s="7">
        <v>2285.19</v>
      </c>
      <c r="P103" s="7">
        <v>265</v>
      </c>
      <c r="Q103" s="7">
        <v>2774.01</v>
      </c>
      <c r="R103" s="7">
        <v>3837.75</v>
      </c>
      <c r="S103" s="8">
        <v>2660.87</v>
      </c>
      <c r="T103" s="9">
        <f t="shared" si="11"/>
        <v>27552.849999999995</v>
      </c>
    </row>
    <row r="104" spans="1:39" s="6" customFormat="1" x14ac:dyDescent="0.25">
      <c r="A104" s="11" t="s">
        <v>98</v>
      </c>
      <c r="B104" s="17">
        <v>44063</v>
      </c>
      <c r="C104" s="5">
        <v>52</v>
      </c>
      <c r="D104" s="7">
        <v>10222.9</v>
      </c>
      <c r="E104" s="7">
        <v>7758.1</v>
      </c>
      <c r="F104" s="7">
        <v>47260.07</v>
      </c>
      <c r="G104" s="7">
        <v>2957.36</v>
      </c>
      <c r="H104" s="7">
        <v>1803.27</v>
      </c>
      <c r="I104" s="7">
        <v>1009.83</v>
      </c>
      <c r="J104" s="7"/>
      <c r="K104" s="7">
        <v>7080.98</v>
      </c>
      <c r="L104" s="7">
        <v>16157.13</v>
      </c>
      <c r="M104" s="7">
        <v>33.840000000000003</v>
      </c>
      <c r="N104" s="7">
        <v>3418.95</v>
      </c>
      <c r="O104" s="7">
        <v>11846.22</v>
      </c>
      <c r="P104" s="7">
        <v>468</v>
      </c>
      <c r="Q104" s="7"/>
      <c r="R104" s="7">
        <v>26045.040000000001</v>
      </c>
      <c r="S104" s="8">
        <v>11028.4</v>
      </c>
      <c r="T104" s="9">
        <f t="shared" si="11"/>
        <v>147090.09</v>
      </c>
    </row>
    <row r="105" spans="1:39" s="35" customFormat="1" x14ac:dyDescent="0.25">
      <c r="A105" s="11" t="s">
        <v>98</v>
      </c>
      <c r="B105" s="17">
        <v>44063</v>
      </c>
      <c r="C105" s="5">
        <v>89</v>
      </c>
      <c r="D105" s="19">
        <v>11718.39</v>
      </c>
      <c r="E105" s="19">
        <v>8346.49</v>
      </c>
      <c r="F105" s="19">
        <v>54070.09</v>
      </c>
      <c r="G105" s="19">
        <v>3934.39</v>
      </c>
      <c r="H105" s="19">
        <v>2393.8000000000002</v>
      </c>
      <c r="I105" s="19">
        <v>1332.45</v>
      </c>
      <c r="J105" s="19"/>
      <c r="K105" s="19">
        <v>9645.15</v>
      </c>
      <c r="L105" s="19">
        <v>21603.73</v>
      </c>
      <c r="M105" s="19">
        <v>676.8</v>
      </c>
      <c r="N105" s="19">
        <v>4545.03</v>
      </c>
      <c r="O105" s="19">
        <v>15895.6</v>
      </c>
      <c r="P105" s="19">
        <v>810</v>
      </c>
      <c r="Q105" s="19">
        <v>19974.080000000002</v>
      </c>
      <c r="R105" s="19">
        <v>27826.06</v>
      </c>
      <c r="S105" s="8">
        <v>15159.05</v>
      </c>
      <c r="T105" s="9">
        <f t="shared" si="11"/>
        <v>197931.11</v>
      </c>
      <c r="U105" s="6"/>
      <c r="V105" s="6"/>
      <c r="W105" s="6"/>
      <c r="X105" s="6"/>
      <c r="Y105" s="6"/>
      <c r="Z105" s="6"/>
      <c r="AA105" s="6"/>
      <c r="AB105" s="6"/>
      <c r="AC105" s="6"/>
      <c r="AD105" s="6"/>
      <c r="AE105" s="6"/>
      <c r="AF105" s="6"/>
      <c r="AG105" s="6"/>
      <c r="AH105" s="6"/>
      <c r="AI105" s="6"/>
      <c r="AJ105" s="6"/>
      <c r="AK105" s="6"/>
      <c r="AL105" s="6"/>
      <c r="AM105" s="6"/>
    </row>
    <row r="106" spans="1:39" s="6" customFormat="1" x14ac:dyDescent="0.25">
      <c r="A106" s="11" t="s">
        <v>99</v>
      </c>
      <c r="B106" s="17">
        <v>44069</v>
      </c>
      <c r="C106" s="5">
        <v>20</v>
      </c>
      <c r="D106" s="19">
        <v>1126.44</v>
      </c>
      <c r="E106" s="19">
        <v>1154.1500000000001</v>
      </c>
      <c r="F106" s="19">
        <v>6407.71</v>
      </c>
      <c r="G106" s="19">
        <v>967.92</v>
      </c>
      <c r="H106" s="19">
        <v>517.04999999999995</v>
      </c>
      <c r="I106" s="19">
        <v>493.15</v>
      </c>
      <c r="J106" s="19"/>
      <c r="K106" s="19">
        <v>670</v>
      </c>
      <c r="L106" s="19"/>
      <c r="M106" s="19">
        <v>147.72</v>
      </c>
      <c r="N106" s="19"/>
      <c r="O106" s="19">
        <v>1739.44</v>
      </c>
      <c r="P106" s="19">
        <v>300</v>
      </c>
      <c r="Q106" s="19">
        <v>1731.5</v>
      </c>
      <c r="R106" s="19">
        <v>2694.49</v>
      </c>
      <c r="S106" s="8">
        <v>1627.4</v>
      </c>
      <c r="T106" s="9">
        <f t="shared" si="11"/>
        <v>19576.97</v>
      </c>
    </row>
    <row r="107" spans="1:39" s="46" customFormat="1" x14ac:dyDescent="0.25">
      <c r="A107" s="11" t="s">
        <v>100</v>
      </c>
      <c r="B107" s="17">
        <v>44127</v>
      </c>
      <c r="C107" s="5">
        <v>28</v>
      </c>
      <c r="D107" s="19">
        <v>659.98</v>
      </c>
      <c r="E107" s="19">
        <v>875.18</v>
      </c>
      <c r="F107" s="19">
        <v>2727.81</v>
      </c>
      <c r="G107" s="19">
        <v>1021.26</v>
      </c>
      <c r="H107" s="19">
        <v>378.68</v>
      </c>
      <c r="I107" s="19">
        <v>1284.92</v>
      </c>
      <c r="J107" s="19" t="s">
        <v>160</v>
      </c>
      <c r="K107" s="19">
        <v>4.59</v>
      </c>
      <c r="L107" s="19">
        <v>643.5</v>
      </c>
      <c r="M107" s="19">
        <v>382.92</v>
      </c>
      <c r="N107" s="19"/>
      <c r="O107" s="19">
        <v>1184.75</v>
      </c>
      <c r="P107" s="19">
        <v>154</v>
      </c>
      <c r="Q107" s="19">
        <v>391.31</v>
      </c>
      <c r="R107" s="19">
        <v>1728.02</v>
      </c>
      <c r="S107" s="8">
        <v>1257.03</v>
      </c>
      <c r="T107" s="9">
        <f>SUM(D107:S107)</f>
        <v>12693.95</v>
      </c>
      <c r="U107" s="8"/>
      <c r="V107" s="6"/>
      <c r="W107" s="6"/>
      <c r="X107" s="6"/>
      <c r="Y107" s="6"/>
    </row>
    <row r="108" spans="1:39" s="6" customFormat="1" x14ac:dyDescent="0.25">
      <c r="A108" s="11" t="s">
        <v>101</v>
      </c>
      <c r="B108" s="17">
        <v>44070</v>
      </c>
      <c r="C108" s="5">
        <v>38</v>
      </c>
      <c r="D108" s="19">
        <v>2542.35</v>
      </c>
      <c r="E108" s="19">
        <v>3292.57</v>
      </c>
      <c r="F108" s="19">
        <v>14212.19</v>
      </c>
      <c r="G108" s="19">
        <v>2521.54</v>
      </c>
      <c r="H108" s="19">
        <v>1208.67</v>
      </c>
      <c r="I108" s="19">
        <v>2181.41</v>
      </c>
      <c r="J108" s="19">
        <v>479.31</v>
      </c>
      <c r="K108" s="19">
        <v>1494</v>
      </c>
      <c r="L108" s="19"/>
      <c r="M108" s="19">
        <v>291.75</v>
      </c>
      <c r="N108" s="19">
        <v>1754.28</v>
      </c>
      <c r="O108" s="19">
        <v>4381.78</v>
      </c>
      <c r="P108" s="19"/>
      <c r="Q108" s="19">
        <v>9228.84</v>
      </c>
      <c r="R108" s="19">
        <v>7757.91</v>
      </c>
      <c r="S108" s="8">
        <v>4258.9799999999996</v>
      </c>
      <c r="T108" s="9">
        <f>SUM(D108:S108)</f>
        <v>55605.58</v>
      </c>
    </row>
    <row r="109" spans="1:39" s="46" customFormat="1" ht="15.75" hidden="1" x14ac:dyDescent="0.25">
      <c r="A109" s="39" t="s">
        <v>143</v>
      </c>
      <c r="B109" s="41">
        <v>44082</v>
      </c>
      <c r="C109" s="42"/>
      <c r="D109" s="43"/>
      <c r="E109" s="43"/>
      <c r="F109" s="43"/>
      <c r="G109" s="43"/>
      <c r="H109" s="43"/>
      <c r="I109" s="43"/>
      <c r="J109" s="43"/>
      <c r="K109" s="43"/>
      <c r="L109" s="43"/>
      <c r="M109" s="43"/>
      <c r="N109" s="43"/>
      <c r="O109" s="43"/>
      <c r="P109" s="43"/>
      <c r="Q109" s="43"/>
      <c r="R109" s="43"/>
      <c r="S109" s="44"/>
      <c r="T109" s="45"/>
    </row>
    <row r="110" spans="1:39" s="6" customFormat="1" ht="15.75" x14ac:dyDescent="0.25">
      <c r="A110" s="31" t="s">
        <v>103</v>
      </c>
      <c r="B110" s="17">
        <v>44118</v>
      </c>
      <c r="C110" s="5">
        <v>54</v>
      </c>
      <c r="D110" s="19">
        <v>7674.51</v>
      </c>
      <c r="E110" s="19">
        <v>11917.07</v>
      </c>
      <c r="F110" s="19">
        <v>55797.57</v>
      </c>
      <c r="G110" s="19">
        <v>8743.92</v>
      </c>
      <c r="H110" s="19">
        <v>3774.35</v>
      </c>
      <c r="I110" s="19">
        <v>2437.0100000000002</v>
      </c>
      <c r="J110" s="19"/>
      <c r="K110" s="19">
        <v>28.21</v>
      </c>
      <c r="L110" s="19">
        <v>20470.669999999998</v>
      </c>
      <c r="M110" s="19">
        <v>503.26</v>
      </c>
      <c r="N110" s="19"/>
      <c r="O110" s="19">
        <v>14376.51</v>
      </c>
      <c r="P110" s="19">
        <v>108</v>
      </c>
      <c r="Q110" s="19"/>
      <c r="R110" s="19">
        <v>22150.47</v>
      </c>
      <c r="S110" s="8">
        <v>11885.26</v>
      </c>
      <c r="T110" s="9">
        <f>SUM(D110:S110)</f>
        <v>159866.81</v>
      </c>
    </row>
    <row r="111" spans="1:39" s="6" customFormat="1" x14ac:dyDescent="0.25">
      <c r="A111" s="11" t="s">
        <v>104</v>
      </c>
      <c r="B111" s="17">
        <v>44103</v>
      </c>
      <c r="C111" s="5">
        <v>67</v>
      </c>
      <c r="D111" s="19">
        <v>3882.6</v>
      </c>
      <c r="E111" s="19">
        <v>3164.66</v>
      </c>
      <c r="F111" s="19">
        <v>13535.83</v>
      </c>
      <c r="G111" s="19">
        <v>1566.65</v>
      </c>
      <c r="H111" s="19">
        <v>2506.64</v>
      </c>
      <c r="I111" s="19">
        <v>1114.52</v>
      </c>
      <c r="J111" s="19"/>
      <c r="K111" s="19"/>
      <c r="L111" s="25">
        <v>1011</v>
      </c>
      <c r="M111" s="19"/>
      <c r="N111" s="19"/>
      <c r="O111" s="19">
        <v>4005.92</v>
      </c>
      <c r="P111" s="19">
        <v>660</v>
      </c>
      <c r="Q111" s="19">
        <v>4202.03</v>
      </c>
      <c r="R111" s="19">
        <v>6030.12</v>
      </c>
      <c r="S111" s="8">
        <v>2991.08</v>
      </c>
      <c r="T111" s="9">
        <f>SUM(D111:S111)</f>
        <v>44671.05</v>
      </c>
    </row>
    <row r="112" spans="1:39" s="6" customFormat="1" x14ac:dyDescent="0.25">
      <c r="A112" s="11" t="s">
        <v>105</v>
      </c>
      <c r="B112" s="17">
        <v>44063</v>
      </c>
      <c r="C112" s="5">
        <v>171</v>
      </c>
      <c r="D112" s="7">
        <v>19864.32</v>
      </c>
      <c r="E112" s="7">
        <v>8304.02</v>
      </c>
      <c r="F112" s="7">
        <v>75083.91</v>
      </c>
      <c r="G112" s="7">
        <v>10909.16</v>
      </c>
      <c r="H112" s="7">
        <v>4884.68</v>
      </c>
      <c r="I112" s="7">
        <v>2606.7600000000002</v>
      </c>
      <c r="J112" s="7"/>
      <c r="K112" s="7">
        <v>1.02</v>
      </c>
      <c r="L112" s="7"/>
      <c r="M112" s="7"/>
      <c r="N112" s="7"/>
      <c r="O112" s="7">
        <v>17785.88</v>
      </c>
      <c r="P112" s="7">
        <v>2380</v>
      </c>
      <c r="Q112" s="7">
        <v>18197.88</v>
      </c>
      <c r="R112" s="7">
        <v>28246.89</v>
      </c>
      <c r="S112" s="8">
        <v>16503.400000000001</v>
      </c>
      <c r="T112" s="9">
        <f>SUM(D112:S112)</f>
        <v>204767.92</v>
      </c>
    </row>
    <row r="113" spans="1:20" s="6" customFormat="1" x14ac:dyDescent="0.25">
      <c r="A113" s="11" t="s">
        <v>106</v>
      </c>
      <c r="B113" s="17">
        <v>44098</v>
      </c>
      <c r="C113" s="5">
        <v>0</v>
      </c>
      <c r="D113" s="7">
        <v>0</v>
      </c>
      <c r="E113" s="7">
        <v>0</v>
      </c>
      <c r="F113" s="7">
        <v>0</v>
      </c>
      <c r="G113" s="7">
        <v>0</v>
      </c>
      <c r="H113" s="7">
        <v>0</v>
      </c>
      <c r="I113" s="7">
        <v>0</v>
      </c>
      <c r="J113" s="7">
        <v>0</v>
      </c>
      <c r="K113" s="7">
        <v>0</v>
      </c>
      <c r="L113" s="7">
        <v>0</v>
      </c>
      <c r="M113" s="7">
        <v>0</v>
      </c>
      <c r="N113" s="7">
        <v>0</v>
      </c>
      <c r="O113" s="7">
        <v>0</v>
      </c>
      <c r="P113" s="7">
        <v>0</v>
      </c>
      <c r="Q113" s="7">
        <v>0</v>
      </c>
      <c r="R113" s="7">
        <v>0</v>
      </c>
      <c r="S113" s="8">
        <v>0</v>
      </c>
      <c r="T113" s="9">
        <v>0</v>
      </c>
    </row>
    <row r="114" spans="1:20" s="6" customFormat="1" x14ac:dyDescent="0.25">
      <c r="A114" s="11" t="s">
        <v>107</v>
      </c>
      <c r="B114" s="17">
        <v>44074</v>
      </c>
      <c r="C114" s="5">
        <v>75</v>
      </c>
      <c r="D114" s="19">
        <v>4733.1899999999996</v>
      </c>
      <c r="E114" s="19">
        <v>3282.22</v>
      </c>
      <c r="F114" s="19">
        <v>16372.16</v>
      </c>
      <c r="G114" s="19">
        <v>3142.59</v>
      </c>
      <c r="H114" s="19">
        <v>2715.77</v>
      </c>
      <c r="I114" s="19">
        <v>1705.99</v>
      </c>
      <c r="J114" s="19"/>
      <c r="K114" s="19">
        <v>18.52</v>
      </c>
      <c r="L114" s="19">
        <v>349.24</v>
      </c>
      <c r="M114" s="19"/>
      <c r="N114" s="19">
        <v>0</v>
      </c>
      <c r="O114" s="19">
        <v>4335.5200000000004</v>
      </c>
      <c r="P114" s="19">
        <v>150</v>
      </c>
      <c r="Q114" s="19"/>
      <c r="R114" s="19">
        <v>6373.95</v>
      </c>
      <c r="S114" s="8">
        <v>4312.01</v>
      </c>
      <c r="T114" s="9">
        <f>SUM(D114:S114)</f>
        <v>47491.16</v>
      </c>
    </row>
    <row r="115" spans="1:20" s="6" customFormat="1" x14ac:dyDescent="0.25">
      <c r="A115" s="11" t="s">
        <v>108</v>
      </c>
      <c r="B115" s="17">
        <v>44090</v>
      </c>
      <c r="C115" s="5">
        <v>41</v>
      </c>
      <c r="D115" s="19">
        <v>4161.6400000000003</v>
      </c>
      <c r="E115" s="19">
        <v>6303.93</v>
      </c>
      <c r="F115" s="19">
        <v>19308.48</v>
      </c>
      <c r="G115" s="19">
        <v>3647.21</v>
      </c>
      <c r="H115" s="19">
        <v>1534.99</v>
      </c>
      <c r="I115" s="19"/>
      <c r="J115" s="19"/>
      <c r="K115" s="19">
        <v>4.67</v>
      </c>
      <c r="L115" s="19"/>
      <c r="M115" s="19"/>
      <c r="N115" s="19"/>
      <c r="O115" s="19">
        <v>4111.83</v>
      </c>
      <c r="P115" s="19"/>
      <c r="Q115" s="19"/>
      <c r="R115" s="19">
        <v>6303.93</v>
      </c>
      <c r="S115" s="8"/>
      <c r="T115" s="9">
        <f>SUM(D115:S115)</f>
        <v>45376.68</v>
      </c>
    </row>
    <row r="116" spans="1:20" s="6" customFormat="1" x14ac:dyDescent="0.25">
      <c r="A116" s="11" t="s">
        <v>109</v>
      </c>
      <c r="B116" s="17">
        <v>44068</v>
      </c>
      <c r="C116" s="5">
        <v>50</v>
      </c>
      <c r="D116" s="19">
        <v>4292.49</v>
      </c>
      <c r="E116" s="19">
        <v>2547.36</v>
      </c>
      <c r="F116" s="19">
        <v>18366.28</v>
      </c>
      <c r="G116" s="19">
        <v>2216.64</v>
      </c>
      <c r="H116" s="19">
        <v>1583.39</v>
      </c>
      <c r="I116" s="19">
        <v>1337.36</v>
      </c>
      <c r="J116" s="19">
        <v>2322.14</v>
      </c>
      <c r="K116" s="19">
        <v>0.46</v>
      </c>
      <c r="L116" s="19"/>
      <c r="M116" s="19"/>
      <c r="N116" s="19">
        <v>2322.14</v>
      </c>
      <c r="O116" s="19">
        <v>4728.47</v>
      </c>
      <c r="P116" s="19">
        <v>76</v>
      </c>
      <c r="Q116" s="19"/>
      <c r="R116" s="19">
        <v>7098.98</v>
      </c>
      <c r="S116" s="8">
        <v>4081.51</v>
      </c>
      <c r="T116" s="9">
        <f>SUM(D116:S116)</f>
        <v>50973.219999999994</v>
      </c>
    </row>
    <row r="117" spans="1:20" s="6" customFormat="1" x14ac:dyDescent="0.25">
      <c r="A117" s="11" t="s">
        <v>110</v>
      </c>
      <c r="B117" s="17">
        <v>44074</v>
      </c>
      <c r="C117" s="5">
        <v>87</v>
      </c>
      <c r="D117" s="19">
        <v>15049.25</v>
      </c>
      <c r="E117" s="19">
        <v>7655.87</v>
      </c>
      <c r="F117" s="19">
        <v>70508</v>
      </c>
      <c r="G117" s="19">
        <v>6916.59</v>
      </c>
      <c r="H117" s="19">
        <v>5433.2</v>
      </c>
      <c r="I117" s="19">
        <v>2211.08</v>
      </c>
      <c r="J117" s="19"/>
      <c r="K117" s="19"/>
      <c r="L117" s="19"/>
      <c r="M117" s="19"/>
      <c r="N117" s="19"/>
      <c r="O117" s="19">
        <v>15349.1</v>
      </c>
      <c r="P117" s="19">
        <v>1806</v>
      </c>
      <c r="Q117" s="19">
        <v>16000.94</v>
      </c>
      <c r="R117" s="19">
        <v>24656.959999999999</v>
      </c>
      <c r="S117" s="8">
        <v>13532.43</v>
      </c>
      <c r="T117" s="9">
        <f>SUM(D117:S117)</f>
        <v>179119.41999999998</v>
      </c>
    </row>
    <row r="118" spans="1:20" s="6" customFormat="1" x14ac:dyDescent="0.25">
      <c r="A118" s="11" t="s">
        <v>111</v>
      </c>
      <c r="B118" s="17">
        <v>44069</v>
      </c>
      <c r="C118" s="5">
        <v>57</v>
      </c>
      <c r="D118" s="7">
        <v>10621.69</v>
      </c>
      <c r="E118" s="7">
        <v>9315.7800000000007</v>
      </c>
      <c r="F118" s="7">
        <v>63643.17</v>
      </c>
      <c r="G118" s="7">
        <v>2873.06</v>
      </c>
      <c r="H118" s="7">
        <v>3264.86</v>
      </c>
      <c r="I118" s="7">
        <v>1767.37</v>
      </c>
      <c r="J118" s="7"/>
      <c r="K118" s="7">
        <v>5295.8</v>
      </c>
      <c r="L118" s="7">
        <v>2437.7800000000002</v>
      </c>
      <c r="M118" s="7">
        <v>870.63</v>
      </c>
      <c r="N118" s="7"/>
      <c r="O118" s="7">
        <v>13574.55</v>
      </c>
      <c r="P118" s="7">
        <v>741</v>
      </c>
      <c r="Q118" s="7">
        <v>14995.97</v>
      </c>
      <c r="R118" s="7">
        <v>23123.25</v>
      </c>
      <c r="S118" s="8">
        <v>12359.59</v>
      </c>
      <c r="T118" s="9">
        <f t="shared" ref="T118:T127" si="12">SUM(D118:S118)</f>
        <v>164884.5</v>
      </c>
    </row>
    <row r="119" spans="1:20" s="6" customFormat="1" x14ac:dyDescent="0.25">
      <c r="A119" s="11" t="s">
        <v>112</v>
      </c>
      <c r="B119" s="17">
        <v>44095</v>
      </c>
      <c r="C119" s="5">
        <v>36</v>
      </c>
      <c r="D119" s="7">
        <v>3929.84</v>
      </c>
      <c r="E119" s="7">
        <v>3317.82</v>
      </c>
      <c r="F119" s="7">
        <v>17652.11</v>
      </c>
      <c r="G119" s="7">
        <v>2029.35</v>
      </c>
      <c r="H119" s="7"/>
      <c r="I119" s="7">
        <v>626.20000000000005</v>
      </c>
      <c r="J119" s="7"/>
      <c r="K119" s="7"/>
      <c r="L119" s="7"/>
      <c r="M119" s="7"/>
      <c r="N119" s="7">
        <v>1224.06</v>
      </c>
      <c r="O119" s="7">
        <v>4265.0600000000004</v>
      </c>
      <c r="P119" s="7">
        <v>360</v>
      </c>
      <c r="Q119" s="7">
        <v>4674.0600000000004</v>
      </c>
      <c r="R119" s="7">
        <v>6849.06</v>
      </c>
      <c r="S119" s="8">
        <v>3885.35</v>
      </c>
      <c r="T119" s="9">
        <f t="shared" si="12"/>
        <v>48812.909999999996</v>
      </c>
    </row>
    <row r="120" spans="1:20" s="6" customFormat="1" x14ac:dyDescent="0.25">
      <c r="A120" s="11" t="s">
        <v>113</v>
      </c>
      <c r="B120" s="17">
        <v>44098</v>
      </c>
      <c r="C120" s="5">
        <v>29</v>
      </c>
      <c r="D120" s="7">
        <v>1519.56</v>
      </c>
      <c r="E120" s="7">
        <v>983.99</v>
      </c>
      <c r="F120" s="7">
        <v>7959.07</v>
      </c>
      <c r="G120" s="7">
        <v>597.88</v>
      </c>
      <c r="H120" s="7">
        <v>498.22</v>
      </c>
      <c r="I120" s="7">
        <v>427.27</v>
      </c>
      <c r="J120" s="7"/>
      <c r="K120" s="7">
        <v>871.88</v>
      </c>
      <c r="L120" s="7">
        <v>7.01</v>
      </c>
      <c r="M120" s="7">
        <v>108.35</v>
      </c>
      <c r="N120" s="7"/>
      <c r="O120" s="7">
        <v>1599.54</v>
      </c>
      <c r="P120" s="7">
        <v>756</v>
      </c>
      <c r="Q120" s="7">
        <v>1879.63</v>
      </c>
      <c r="R120" s="7">
        <v>2548.21</v>
      </c>
      <c r="S120" s="8">
        <v>1694.13</v>
      </c>
      <c r="T120" s="9">
        <f t="shared" si="12"/>
        <v>21450.739999999998</v>
      </c>
    </row>
    <row r="121" spans="1:20" s="6" customFormat="1" x14ac:dyDescent="0.25">
      <c r="A121" s="11" t="s">
        <v>114</v>
      </c>
      <c r="B121" s="17">
        <v>44091</v>
      </c>
      <c r="C121" s="5">
        <v>34</v>
      </c>
      <c r="D121" s="19">
        <v>2149.9499999999998</v>
      </c>
      <c r="E121" s="19">
        <v>1992.52</v>
      </c>
      <c r="F121" s="19">
        <v>7415.93</v>
      </c>
      <c r="G121" s="19">
        <v>1374.64</v>
      </c>
      <c r="H121" s="19">
        <v>572.82000000000005</v>
      </c>
      <c r="I121" s="19">
        <v>774.69</v>
      </c>
      <c r="J121" s="19">
        <v>1462.7</v>
      </c>
      <c r="K121" s="19"/>
      <c r="L121" s="19"/>
      <c r="M121" s="19"/>
      <c r="N121" s="19"/>
      <c r="O121" s="19">
        <v>2045.85</v>
      </c>
      <c r="P121" s="19"/>
      <c r="Q121" s="19"/>
      <c r="R121" s="19">
        <v>3107.8</v>
      </c>
      <c r="S121" s="8">
        <v>2029.96</v>
      </c>
      <c r="T121" s="9">
        <f t="shared" si="12"/>
        <v>22926.859999999997</v>
      </c>
    </row>
    <row r="122" spans="1:20" s="6" customFormat="1" x14ac:dyDescent="0.25">
      <c r="A122" s="11" t="s">
        <v>115</v>
      </c>
      <c r="B122" s="17">
        <v>44097</v>
      </c>
      <c r="C122" s="5">
        <v>23</v>
      </c>
      <c r="D122" s="7">
        <v>2510.8000000000002</v>
      </c>
      <c r="E122" s="7">
        <v>2037.47</v>
      </c>
      <c r="F122" s="7">
        <v>9100.3799999999992</v>
      </c>
      <c r="G122" s="7">
        <v>1275.99</v>
      </c>
      <c r="H122" s="7">
        <v>884.95</v>
      </c>
      <c r="I122" s="7">
        <v>796.29</v>
      </c>
      <c r="J122" s="7"/>
      <c r="K122" s="7">
        <v>7.79</v>
      </c>
      <c r="L122" s="7">
        <v>50.13</v>
      </c>
      <c r="M122" s="7">
        <v>279.04000000000002</v>
      </c>
      <c r="N122" s="7">
        <v>0</v>
      </c>
      <c r="O122" s="7">
        <v>2189.6999999999998</v>
      </c>
      <c r="P122" s="7"/>
      <c r="Q122" s="7"/>
      <c r="R122" s="7">
        <v>3431.37</v>
      </c>
      <c r="S122" s="8">
        <v>1934.21</v>
      </c>
      <c r="T122" s="9">
        <f t="shared" si="12"/>
        <v>24498.120000000003</v>
      </c>
    </row>
    <row r="123" spans="1:20" s="6" customFormat="1" x14ac:dyDescent="0.25">
      <c r="A123" s="11" t="s">
        <v>116</v>
      </c>
      <c r="B123" s="17">
        <v>44067</v>
      </c>
      <c r="C123" s="5">
        <v>65</v>
      </c>
      <c r="D123" s="19">
        <v>3058.07</v>
      </c>
      <c r="E123" s="19">
        <v>2005.29</v>
      </c>
      <c r="F123" s="19">
        <v>13811.63</v>
      </c>
      <c r="G123" s="19">
        <v>1203.2</v>
      </c>
      <c r="H123" s="19"/>
      <c r="I123" s="19"/>
      <c r="J123" s="19">
        <v>2506.66</v>
      </c>
      <c r="K123" s="19">
        <v>1520.22</v>
      </c>
      <c r="L123" s="19"/>
      <c r="M123" s="19"/>
      <c r="N123" s="19">
        <v>2506.66</v>
      </c>
      <c r="O123" s="19">
        <v>3540.61</v>
      </c>
      <c r="P123" s="19">
        <v>576</v>
      </c>
      <c r="Q123" s="19"/>
      <c r="R123" s="19">
        <v>5322.33</v>
      </c>
      <c r="S123" s="8">
        <v>5331.22</v>
      </c>
      <c r="T123" s="9">
        <f t="shared" si="12"/>
        <v>41381.89</v>
      </c>
    </row>
    <row r="124" spans="1:20" s="6" customFormat="1" x14ac:dyDescent="0.25">
      <c r="A124" s="11" t="s">
        <v>117</v>
      </c>
      <c r="B124" s="17">
        <v>44060</v>
      </c>
      <c r="C124" s="5">
        <v>23</v>
      </c>
      <c r="D124" s="7">
        <v>1750.22</v>
      </c>
      <c r="E124" s="7">
        <v>1118.98</v>
      </c>
      <c r="F124" s="7">
        <v>10831.24</v>
      </c>
      <c r="G124" s="7">
        <v>1692.82</v>
      </c>
      <c r="H124" s="7">
        <v>573.84</v>
      </c>
      <c r="I124" s="7">
        <v>633.97</v>
      </c>
      <c r="J124" s="7"/>
      <c r="K124" s="7"/>
      <c r="L124" s="7">
        <v>41.85</v>
      </c>
      <c r="M124" s="7"/>
      <c r="N124" s="7"/>
      <c r="O124" s="7">
        <v>2578.96</v>
      </c>
      <c r="P124" s="7">
        <v>230</v>
      </c>
      <c r="Q124" s="7">
        <v>2499.75</v>
      </c>
      <c r="R124" s="7">
        <v>3874.53</v>
      </c>
      <c r="S124" s="8">
        <v>2259.2600000000002</v>
      </c>
      <c r="T124" s="9">
        <f t="shared" si="12"/>
        <v>28085.42</v>
      </c>
    </row>
    <row r="125" spans="1:20" s="6" customFormat="1" x14ac:dyDescent="0.25">
      <c r="A125" s="11" t="s">
        <v>118</v>
      </c>
      <c r="B125" s="17">
        <v>44089</v>
      </c>
      <c r="C125" s="5">
        <v>45</v>
      </c>
      <c r="D125" s="19">
        <v>2053.11</v>
      </c>
      <c r="E125" s="19">
        <v>1733.38</v>
      </c>
      <c r="F125" s="19">
        <v>12167.27</v>
      </c>
      <c r="G125" s="19">
        <v>1363.16</v>
      </c>
      <c r="H125" s="19">
        <v>883.52</v>
      </c>
      <c r="I125" s="19">
        <v>420.73</v>
      </c>
      <c r="J125" s="19"/>
      <c r="K125" s="19"/>
      <c r="L125" s="19"/>
      <c r="M125" s="19"/>
      <c r="N125" s="19"/>
      <c r="O125" s="19">
        <v>2550.79</v>
      </c>
      <c r="P125" s="19">
        <v>270</v>
      </c>
      <c r="Q125" s="19">
        <v>3013.84</v>
      </c>
      <c r="R125" s="19">
        <v>4416.97</v>
      </c>
      <c r="S125" s="8">
        <v>2838.5</v>
      </c>
      <c r="T125" s="9">
        <f t="shared" si="12"/>
        <v>31711.270000000004</v>
      </c>
    </row>
    <row r="126" spans="1:20" s="6" customFormat="1" x14ac:dyDescent="0.25">
      <c r="A126" s="11" t="s">
        <v>119</v>
      </c>
      <c r="B126" s="17">
        <v>44061</v>
      </c>
      <c r="C126" s="5">
        <v>208</v>
      </c>
      <c r="D126" s="19">
        <v>21477.15</v>
      </c>
      <c r="E126" s="19">
        <v>25526.22</v>
      </c>
      <c r="F126" s="19">
        <v>54312.17</v>
      </c>
      <c r="G126" s="19">
        <v>6865.64</v>
      </c>
      <c r="H126" s="19">
        <v>4049.01</v>
      </c>
      <c r="I126" s="19">
        <v>1054.6199999999999</v>
      </c>
      <c r="J126" s="19"/>
      <c r="K126" s="19">
        <v>4445.3500000000004</v>
      </c>
      <c r="L126" s="19">
        <v>968.54</v>
      </c>
      <c r="M126" s="19">
        <v>440.04</v>
      </c>
      <c r="N126" s="19"/>
      <c r="O126" s="19">
        <v>17200.71</v>
      </c>
      <c r="P126" s="19">
        <v>6448</v>
      </c>
      <c r="Q126" s="19">
        <v>17850.740000000002</v>
      </c>
      <c r="R126" s="19">
        <v>27858.83</v>
      </c>
      <c r="S126" s="8">
        <v>16841.5</v>
      </c>
      <c r="T126" s="9">
        <f t="shared" si="12"/>
        <v>205338.51999999996</v>
      </c>
    </row>
    <row r="127" spans="1:20" s="6" customFormat="1" x14ac:dyDescent="0.25">
      <c r="A127" s="11" t="s">
        <v>120</v>
      </c>
      <c r="B127" s="17">
        <v>44075</v>
      </c>
      <c r="C127" s="5">
        <v>19</v>
      </c>
      <c r="D127" s="7">
        <v>1451.95</v>
      </c>
      <c r="E127" s="7">
        <v>999.7</v>
      </c>
      <c r="F127" s="7">
        <v>7164.55</v>
      </c>
      <c r="G127" s="7">
        <v>1035.4100000000001</v>
      </c>
      <c r="H127" s="7">
        <v>272.27999999999997</v>
      </c>
      <c r="I127" s="7">
        <v>1294.8699999999999</v>
      </c>
      <c r="J127" s="7"/>
      <c r="K127" s="7">
        <v>720</v>
      </c>
      <c r="L127" s="7">
        <v>1.7</v>
      </c>
      <c r="M127" s="7">
        <v>130.91999999999999</v>
      </c>
      <c r="N127" s="7"/>
      <c r="O127" s="7">
        <v>1930.71</v>
      </c>
      <c r="P127" s="7">
        <v>361</v>
      </c>
      <c r="Q127" s="7">
        <v>2122.59</v>
      </c>
      <c r="R127" s="7">
        <v>3076.8</v>
      </c>
      <c r="S127" s="8">
        <v>1804.4</v>
      </c>
      <c r="T127" s="9">
        <f t="shared" si="12"/>
        <v>22366.880000000005</v>
      </c>
    </row>
    <row r="128" spans="1:20" s="6" customFormat="1" x14ac:dyDescent="0.25">
      <c r="A128" s="11" t="s">
        <v>121</v>
      </c>
      <c r="B128" s="17">
        <v>44088</v>
      </c>
      <c r="C128" s="5">
        <v>58</v>
      </c>
      <c r="D128" s="19">
        <v>4660.84</v>
      </c>
      <c r="E128" s="19">
        <v>4813.63</v>
      </c>
      <c r="F128" s="19">
        <v>18791.5</v>
      </c>
      <c r="G128" s="19">
        <v>3476.73</v>
      </c>
      <c r="H128" s="19">
        <v>1336.63</v>
      </c>
      <c r="I128" s="19">
        <v>3438.62</v>
      </c>
      <c r="J128" s="19"/>
      <c r="K128" s="19">
        <v>1</v>
      </c>
      <c r="L128" s="19">
        <v>5.34</v>
      </c>
      <c r="M128" s="19">
        <v>573.03</v>
      </c>
      <c r="N128" s="19">
        <v>392.36</v>
      </c>
      <c r="O128" s="19">
        <v>5823.86</v>
      </c>
      <c r="P128" s="19">
        <v>232</v>
      </c>
      <c r="Q128" s="19">
        <v>6162.32</v>
      </c>
      <c r="R128" s="19">
        <v>8845.42</v>
      </c>
      <c r="S128" s="8">
        <v>5235.22</v>
      </c>
      <c r="T128" s="9">
        <f t="shared" ref="T128:T133" si="13">SUM(D128:S128)</f>
        <v>63788.5</v>
      </c>
    </row>
    <row r="129" spans="1:20" s="6" customFormat="1" x14ac:dyDescent="0.25">
      <c r="A129" s="11" t="s">
        <v>122</v>
      </c>
      <c r="B129" s="17">
        <v>44074</v>
      </c>
      <c r="C129" s="5">
        <v>25</v>
      </c>
      <c r="D129" s="19">
        <v>1220.3399999999999</v>
      </c>
      <c r="E129" s="19">
        <v>1880.53</v>
      </c>
      <c r="F129" s="19">
        <v>5561.55</v>
      </c>
      <c r="G129" s="19">
        <v>940.24</v>
      </c>
      <c r="H129" s="19">
        <v>500.15</v>
      </c>
      <c r="I129" s="19">
        <v>629.86</v>
      </c>
      <c r="J129" s="19"/>
      <c r="K129" s="19">
        <v>1.56</v>
      </c>
      <c r="L129" s="19">
        <v>50</v>
      </c>
      <c r="M129" s="19"/>
      <c r="N129" s="19">
        <v>631.59</v>
      </c>
      <c r="O129" s="19">
        <v>1733.98</v>
      </c>
      <c r="P129" s="19">
        <v>250</v>
      </c>
      <c r="Q129" s="19">
        <v>1706.04</v>
      </c>
      <c r="R129" s="19">
        <v>2614.39</v>
      </c>
      <c r="S129" s="8">
        <v>1682.17</v>
      </c>
      <c r="T129" s="9">
        <f t="shared" si="13"/>
        <v>19402.400000000001</v>
      </c>
    </row>
    <row r="130" spans="1:20" s="6" customFormat="1" x14ac:dyDescent="0.25">
      <c r="A130" s="11" t="s">
        <v>148</v>
      </c>
      <c r="B130" s="17">
        <v>44060</v>
      </c>
      <c r="C130" s="5">
        <v>22</v>
      </c>
      <c r="D130" s="19">
        <v>2115.66</v>
      </c>
      <c r="E130" s="19">
        <v>1352.64</v>
      </c>
      <c r="F130" s="19">
        <v>7279.5</v>
      </c>
      <c r="G130" s="19">
        <v>901.75</v>
      </c>
      <c r="H130" s="19">
        <v>693.66</v>
      </c>
      <c r="I130" s="19">
        <v>919.08</v>
      </c>
      <c r="J130" s="19"/>
      <c r="K130" s="19"/>
      <c r="L130" s="19">
        <v>3.34</v>
      </c>
      <c r="M130" s="19">
        <v>242.77</v>
      </c>
      <c r="N130" s="19"/>
      <c r="O130" s="19">
        <v>2097.4499999999998</v>
      </c>
      <c r="P130" s="19">
        <v>286</v>
      </c>
      <c r="Q130" s="19">
        <v>2029.11</v>
      </c>
      <c r="R130" s="19">
        <v>3151.49</v>
      </c>
      <c r="S130" s="8">
        <v>1883.75</v>
      </c>
      <c r="T130" s="9">
        <f t="shared" si="13"/>
        <v>22956.199999999997</v>
      </c>
    </row>
    <row r="131" spans="1:20" s="6" customFormat="1" x14ac:dyDescent="0.25">
      <c r="A131" s="11" t="s">
        <v>142</v>
      </c>
      <c r="B131" s="17">
        <v>44060</v>
      </c>
      <c r="C131" s="5">
        <v>91</v>
      </c>
      <c r="D131" s="25">
        <v>9321.81</v>
      </c>
      <c r="E131" s="19">
        <v>5959.89</v>
      </c>
      <c r="F131" s="19">
        <v>30811.47</v>
      </c>
      <c r="G131" s="19">
        <v>3973.21</v>
      </c>
      <c r="H131" s="19">
        <v>3056.34</v>
      </c>
      <c r="I131" s="19">
        <v>4049.65</v>
      </c>
      <c r="J131" s="19"/>
      <c r="K131" s="19"/>
      <c r="L131" s="19">
        <v>29.44</v>
      </c>
      <c r="M131" s="19">
        <v>1069.74</v>
      </c>
      <c r="N131" s="19"/>
      <c r="O131" s="19">
        <v>9049.2900000000009</v>
      </c>
      <c r="P131" s="19">
        <v>1183</v>
      </c>
      <c r="Q131" s="19">
        <v>8753.11</v>
      </c>
      <c r="R131" s="19">
        <v>13586.92</v>
      </c>
      <c r="S131" s="8">
        <v>8067.46</v>
      </c>
      <c r="T131" s="9">
        <f t="shared" si="13"/>
        <v>98911.33</v>
      </c>
    </row>
    <row r="132" spans="1:20" s="6" customFormat="1" x14ac:dyDescent="0.25">
      <c r="A132" s="11" t="s">
        <v>123</v>
      </c>
      <c r="B132" s="17">
        <v>44095</v>
      </c>
      <c r="C132" s="5">
        <v>4</v>
      </c>
      <c r="D132" s="19">
        <v>114.68</v>
      </c>
      <c r="E132" s="19">
        <v>72.72</v>
      </c>
      <c r="F132" s="19">
        <v>350.14</v>
      </c>
      <c r="G132" s="19">
        <v>131.6</v>
      </c>
      <c r="H132" s="19">
        <v>55.1</v>
      </c>
      <c r="I132" s="19">
        <v>121.2</v>
      </c>
      <c r="J132" s="19"/>
      <c r="K132" s="19">
        <v>1.5</v>
      </c>
      <c r="L132" s="19">
        <v>8</v>
      </c>
      <c r="M132" s="19">
        <v>43.11</v>
      </c>
      <c r="N132" s="19"/>
      <c r="O132" s="19">
        <v>141.13</v>
      </c>
      <c r="P132" s="19">
        <v>40</v>
      </c>
      <c r="Q132" s="19">
        <v>147.53</v>
      </c>
      <c r="R132" s="19">
        <v>210.75</v>
      </c>
      <c r="S132" s="8">
        <v>225.38</v>
      </c>
      <c r="T132" s="9">
        <f t="shared" si="13"/>
        <v>1662.8400000000001</v>
      </c>
    </row>
    <row r="133" spans="1:20" s="6" customFormat="1" x14ac:dyDescent="0.25">
      <c r="A133" s="11" t="s">
        <v>124</v>
      </c>
      <c r="B133" s="17">
        <v>44099</v>
      </c>
      <c r="C133" s="5">
        <v>10</v>
      </c>
      <c r="D133" s="7">
        <v>1705.67</v>
      </c>
      <c r="E133" s="7">
        <v>978.67</v>
      </c>
      <c r="F133" s="7">
        <v>9688.83</v>
      </c>
      <c r="G133" s="7">
        <v>880.8</v>
      </c>
      <c r="H133" s="7">
        <v>279.62</v>
      </c>
      <c r="I133" s="7">
        <v>243.85</v>
      </c>
      <c r="J133" s="7"/>
      <c r="K133" s="7">
        <v>325.33</v>
      </c>
      <c r="L133" s="7"/>
      <c r="M133" s="7"/>
      <c r="N133" s="7"/>
      <c r="O133" s="7">
        <v>1959.22</v>
      </c>
      <c r="P133" s="7">
        <v>160</v>
      </c>
      <c r="Q133" s="7">
        <v>2283.87</v>
      </c>
      <c r="R133" s="7">
        <v>3277.32</v>
      </c>
      <c r="S133" s="8">
        <v>1788.67</v>
      </c>
      <c r="T133" s="9">
        <f t="shared" si="13"/>
        <v>23571.85</v>
      </c>
    </row>
    <row r="135" spans="1:20" x14ac:dyDescent="0.25">
      <c r="A135" s="22" t="s">
        <v>138</v>
      </c>
      <c r="C135" s="5">
        <f>SUM(C2:C134)</f>
        <v>11885</v>
      </c>
      <c r="D135" s="33">
        <f t="shared" ref="D135:S135" si="14">SUM(D2:D134)</f>
        <v>1026394.59</v>
      </c>
      <c r="E135" s="33">
        <f t="shared" si="14"/>
        <v>1044459.3500000001</v>
      </c>
      <c r="F135" s="33">
        <f t="shared" si="14"/>
        <v>5073531.8100000005</v>
      </c>
      <c r="G135" s="33">
        <f t="shared" si="14"/>
        <v>454676.91999999993</v>
      </c>
      <c r="H135" s="33">
        <f t="shared" si="14"/>
        <v>263122.01999999996</v>
      </c>
      <c r="I135" s="33">
        <f t="shared" si="14"/>
        <v>206305.86999999985</v>
      </c>
      <c r="J135" s="33">
        <f t="shared" si="14"/>
        <v>21080.15</v>
      </c>
      <c r="K135" s="33">
        <f t="shared" si="14"/>
        <v>338949.72</v>
      </c>
      <c r="L135" s="33">
        <f t="shared" si="14"/>
        <v>403332.93000000011</v>
      </c>
      <c r="M135" s="33">
        <f t="shared" si="14"/>
        <v>39283.859999999986</v>
      </c>
      <c r="N135" s="33">
        <f t="shared" si="14"/>
        <v>98309.63</v>
      </c>
      <c r="O135" s="33">
        <f t="shared" si="14"/>
        <v>1160667.42</v>
      </c>
      <c r="P135" s="33">
        <f t="shared" si="14"/>
        <v>147114.41</v>
      </c>
      <c r="Q135" s="33">
        <f t="shared" si="14"/>
        <v>809463.77</v>
      </c>
      <c r="R135" s="33">
        <f t="shared" si="14"/>
        <v>1937782.76</v>
      </c>
      <c r="S135" s="33">
        <f t="shared" si="14"/>
        <v>1143428.0399999998</v>
      </c>
      <c r="T135" s="34">
        <f>SUM(D135:S135)</f>
        <v>14167903.249999998</v>
      </c>
    </row>
    <row r="138" spans="1:20" x14ac:dyDescent="0.25">
      <c r="A138" s="21" t="s">
        <v>140</v>
      </c>
    </row>
  </sheetData>
  <pageMargins left="0.7" right="0.7" top="0.75" bottom="0.75" header="0.3" footer="0.3"/>
  <pageSetup orientation="portrait" r:id="rId1"/>
  <headerFooter>
    <oddFooter>&amp;L_x000D_&amp;1#&amp;"Calibri"&amp;8&amp;K000000 Sensitivity: Internal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30"/>
  <sheetViews>
    <sheetView workbookViewId="0">
      <pane ySplit="1" topLeftCell="A2" activePane="bottomLeft" state="frozen"/>
      <selection pane="bottomLeft" activeCell="A2" sqref="A2"/>
    </sheetView>
  </sheetViews>
  <sheetFormatPr defaultColWidth="9.140625" defaultRowHeight="15" x14ac:dyDescent="0.25"/>
  <cols>
    <col min="1" max="1" width="23.28515625" style="147" customWidth="1"/>
    <col min="2" max="2" width="12.140625" style="141" customWidth="1"/>
    <col min="3" max="3" width="9.42578125" style="142" bestFit="1" customWidth="1"/>
    <col min="4" max="4" width="12.42578125" style="141" customWidth="1"/>
    <col min="5" max="5" width="13.140625" style="141" customWidth="1"/>
    <col min="6" max="6" width="16.85546875" style="141" customWidth="1"/>
    <col min="7" max="7" width="14.28515625" style="141" customWidth="1"/>
    <col min="8" max="8" width="15.140625" style="141" customWidth="1"/>
    <col min="9" max="10" width="13.140625" style="141" customWidth="1"/>
    <col min="11" max="11" width="12.85546875" style="141" customWidth="1"/>
    <col min="12" max="12" width="13.140625" style="141" customWidth="1"/>
    <col min="13" max="13" width="11.5703125" style="141" customWidth="1"/>
    <col min="14" max="14" width="13.140625" style="141" customWidth="1"/>
    <col min="15" max="15" width="13.42578125" style="141" customWidth="1"/>
    <col min="16" max="16" width="13.5703125" style="141" customWidth="1"/>
    <col min="17" max="17" width="14.140625" style="141" customWidth="1"/>
    <col min="18" max="18" width="12.85546875" style="141" customWidth="1"/>
    <col min="19" max="19" width="14" style="141" customWidth="1"/>
    <col min="20" max="20" width="21.140625" style="143" customWidth="1"/>
    <col min="21" max="16384" width="9.140625" style="141"/>
  </cols>
  <sheetData>
    <row r="1" spans="1:20" s="125" customFormat="1" ht="25.5" x14ac:dyDescent="0.2">
      <c r="A1" s="122" t="s">
        <v>0</v>
      </c>
      <c r="B1" s="123" t="s">
        <v>139</v>
      </c>
      <c r="C1" s="148" t="s">
        <v>136</v>
      </c>
      <c r="D1" s="123" t="s">
        <v>1</v>
      </c>
      <c r="E1" s="123" t="s">
        <v>2</v>
      </c>
      <c r="F1" s="123" t="s">
        <v>3</v>
      </c>
      <c r="G1" s="123" t="s">
        <v>128</v>
      </c>
      <c r="H1" s="123" t="s">
        <v>129</v>
      </c>
      <c r="I1" s="123" t="s">
        <v>130</v>
      </c>
      <c r="J1" s="123" t="s">
        <v>137</v>
      </c>
      <c r="K1" s="123" t="s">
        <v>132</v>
      </c>
      <c r="L1" s="123" t="s">
        <v>133</v>
      </c>
      <c r="M1" s="123" t="s">
        <v>134</v>
      </c>
      <c r="N1" s="123" t="s">
        <v>131</v>
      </c>
      <c r="O1" s="123" t="s">
        <v>4</v>
      </c>
      <c r="P1" s="123" t="s">
        <v>125</v>
      </c>
      <c r="Q1" s="123" t="s">
        <v>127</v>
      </c>
      <c r="R1" s="123" t="s">
        <v>5</v>
      </c>
      <c r="S1" s="123" t="s">
        <v>126</v>
      </c>
      <c r="T1" s="124" t="s">
        <v>135</v>
      </c>
    </row>
    <row r="2" spans="1:20" s="131" customFormat="1" ht="15.75" customHeight="1" x14ac:dyDescent="0.25">
      <c r="A2" s="126" t="s">
        <v>6</v>
      </c>
      <c r="B2" s="127">
        <v>44468</v>
      </c>
      <c r="C2" s="128">
        <v>29</v>
      </c>
      <c r="D2" s="19">
        <v>1663.3</v>
      </c>
      <c r="E2" s="19">
        <v>2237.91</v>
      </c>
      <c r="F2" s="19">
        <v>7307.67</v>
      </c>
      <c r="G2" s="19">
        <v>736.22</v>
      </c>
      <c r="H2" s="19">
        <v>409.01</v>
      </c>
      <c r="I2" s="19">
        <v>823.68</v>
      </c>
      <c r="J2" s="19">
        <v>1363.37</v>
      </c>
      <c r="K2" s="19">
        <v>767.81</v>
      </c>
      <c r="L2" s="19"/>
      <c r="M2" s="19">
        <v>245.42</v>
      </c>
      <c r="N2" s="19">
        <v>995.26</v>
      </c>
      <c r="O2" s="19">
        <v>2153.04</v>
      </c>
      <c r="P2" s="19"/>
      <c r="Q2" s="19"/>
      <c r="R2" s="19">
        <v>3315.77</v>
      </c>
      <c r="S2" s="129">
        <v>2063.89</v>
      </c>
      <c r="T2" s="130">
        <f t="shared" ref="T2:T7" si="0">SUM(D2:S2)</f>
        <v>24082.35</v>
      </c>
    </row>
    <row r="3" spans="1:20" s="131" customFormat="1" x14ac:dyDescent="0.25">
      <c r="A3" s="126" t="s">
        <v>7</v>
      </c>
      <c r="B3" s="127">
        <v>44427</v>
      </c>
      <c r="C3" s="128">
        <v>55</v>
      </c>
      <c r="D3" s="19">
        <v>1572.24</v>
      </c>
      <c r="E3" s="19">
        <v>1143.78</v>
      </c>
      <c r="F3" s="19">
        <v>6912.42</v>
      </c>
      <c r="G3" s="19">
        <v>979</v>
      </c>
      <c r="H3" s="19">
        <v>709.63</v>
      </c>
      <c r="I3" s="19">
        <v>420.08</v>
      </c>
      <c r="J3" s="19"/>
      <c r="K3" s="19">
        <v>720</v>
      </c>
      <c r="L3" s="19">
        <v>1.18</v>
      </c>
      <c r="M3" s="19">
        <v>257.75</v>
      </c>
      <c r="N3" s="19">
        <v>1070.8599999999999</v>
      </c>
      <c r="O3" s="19">
        <v>2036.92</v>
      </c>
      <c r="P3" s="19">
        <v>369</v>
      </c>
      <c r="Q3" s="19">
        <v>3195.78</v>
      </c>
      <c r="R3" s="19">
        <v>3501.53</v>
      </c>
      <c r="S3" s="129">
        <v>2523.2800000000002</v>
      </c>
      <c r="T3" s="130">
        <f t="shared" si="0"/>
        <v>25413.449999999997</v>
      </c>
    </row>
    <row r="4" spans="1:20" s="131" customFormat="1" x14ac:dyDescent="0.25">
      <c r="A4" s="126" t="s">
        <v>8</v>
      </c>
      <c r="B4" s="127">
        <v>44434</v>
      </c>
      <c r="C4" s="128">
        <v>35</v>
      </c>
      <c r="D4" s="19">
        <v>4230.33</v>
      </c>
      <c r="E4" s="19">
        <v>5055.1400000000003</v>
      </c>
      <c r="F4" s="19">
        <v>22261.42</v>
      </c>
      <c r="G4" s="19">
        <v>2739.29</v>
      </c>
      <c r="H4" s="19">
        <v>1040.25</v>
      </c>
      <c r="I4" s="19">
        <v>477.85</v>
      </c>
      <c r="J4" s="19">
        <v>0</v>
      </c>
      <c r="K4" s="19">
        <v>1963.57</v>
      </c>
      <c r="L4" s="19">
        <v>0</v>
      </c>
      <c r="M4" s="19">
        <v>0</v>
      </c>
      <c r="N4" s="19">
        <v>0</v>
      </c>
      <c r="O4" s="19">
        <v>4691.07</v>
      </c>
      <c r="P4" s="19">
        <v>0</v>
      </c>
      <c r="Q4" s="19">
        <v>0</v>
      </c>
      <c r="R4" s="19">
        <v>7445.22</v>
      </c>
      <c r="S4" s="129"/>
      <c r="T4" s="130">
        <f t="shared" si="0"/>
        <v>49904.14</v>
      </c>
    </row>
    <row r="5" spans="1:20" s="131" customFormat="1" x14ac:dyDescent="0.25">
      <c r="A5" s="126" t="s">
        <v>9</v>
      </c>
      <c r="B5" s="127">
        <v>44418</v>
      </c>
      <c r="C5" s="128">
        <v>15</v>
      </c>
      <c r="D5" s="19">
        <v>1724.72</v>
      </c>
      <c r="E5" s="19">
        <v>3110.12</v>
      </c>
      <c r="F5" s="19">
        <v>7704.66</v>
      </c>
      <c r="G5" s="19">
        <v>0</v>
      </c>
      <c r="H5" s="19">
        <v>424.11</v>
      </c>
      <c r="I5" s="19">
        <v>504.69</v>
      </c>
      <c r="J5" s="19">
        <v>0</v>
      </c>
      <c r="K5" s="19">
        <v>0.44</v>
      </c>
      <c r="L5" s="19">
        <v>0</v>
      </c>
      <c r="M5" s="19">
        <v>226.19</v>
      </c>
      <c r="N5" s="19">
        <v>989.58</v>
      </c>
      <c r="O5" s="19">
        <v>1930.07</v>
      </c>
      <c r="P5" s="19">
        <v>30</v>
      </c>
      <c r="Q5" s="19"/>
      <c r="R5" s="19">
        <v>2936.9</v>
      </c>
      <c r="S5" s="129">
        <v>1618.46</v>
      </c>
      <c r="T5" s="130">
        <f t="shared" si="0"/>
        <v>21199.940000000002</v>
      </c>
    </row>
    <row r="6" spans="1:20" s="131" customFormat="1" x14ac:dyDescent="0.25">
      <c r="A6" s="126" t="s">
        <v>10</v>
      </c>
      <c r="B6" s="127">
        <v>44461</v>
      </c>
      <c r="C6" s="128">
        <v>105</v>
      </c>
      <c r="D6" s="19">
        <v>3749.55</v>
      </c>
      <c r="E6" s="19">
        <v>4456.03</v>
      </c>
      <c r="F6" s="19">
        <v>21974.03</v>
      </c>
      <c r="G6" s="19">
        <v>891.27</v>
      </c>
      <c r="H6" s="19">
        <v>0</v>
      </c>
      <c r="I6" s="19">
        <v>496.09</v>
      </c>
      <c r="J6" s="19">
        <v>0</v>
      </c>
      <c r="K6" s="19">
        <v>1400</v>
      </c>
      <c r="L6" s="19">
        <v>912.32</v>
      </c>
      <c r="M6" s="19">
        <v>0</v>
      </c>
      <c r="N6" s="19">
        <v>736.18</v>
      </c>
      <c r="O6" s="19">
        <v>4996.3599999999997</v>
      </c>
      <c r="P6" s="19">
        <v>1156</v>
      </c>
      <c r="Q6" s="19">
        <v>6115.78</v>
      </c>
      <c r="R6" s="19">
        <v>8354.58</v>
      </c>
      <c r="S6" s="129">
        <v>5648.28</v>
      </c>
      <c r="T6" s="130">
        <f t="shared" si="0"/>
        <v>60886.47</v>
      </c>
    </row>
    <row r="7" spans="1:20" s="131" customFormat="1" x14ac:dyDescent="0.25">
      <c r="A7" s="126" t="s">
        <v>11</v>
      </c>
      <c r="B7" s="127">
        <v>44396</v>
      </c>
      <c r="C7" s="128">
        <v>26</v>
      </c>
      <c r="D7" s="19">
        <v>1308.24</v>
      </c>
      <c r="E7" s="19">
        <v>1093.77</v>
      </c>
      <c r="F7" s="19">
        <v>5509.58</v>
      </c>
      <c r="G7" s="19">
        <v>965.12</v>
      </c>
      <c r="H7" s="19">
        <v>750.67</v>
      </c>
      <c r="I7" s="19">
        <v>646.64</v>
      </c>
      <c r="J7" s="19"/>
      <c r="K7" s="19">
        <v>750.67</v>
      </c>
      <c r="L7" s="19"/>
      <c r="M7" s="19">
        <v>225.2</v>
      </c>
      <c r="N7" s="19">
        <v>1008.04</v>
      </c>
      <c r="O7" s="19">
        <v>1527.32</v>
      </c>
      <c r="P7" s="19">
        <v>58</v>
      </c>
      <c r="Q7" s="19"/>
      <c r="R7" s="19">
        <v>2452.1999999999998</v>
      </c>
      <c r="S7" s="129">
        <v>1556.1</v>
      </c>
      <c r="T7" s="130">
        <f t="shared" si="0"/>
        <v>17851.55</v>
      </c>
    </row>
    <row r="8" spans="1:20" s="131" customFormat="1" x14ac:dyDescent="0.25">
      <c r="A8" s="126" t="s">
        <v>12</v>
      </c>
      <c r="B8" s="127">
        <v>44418</v>
      </c>
      <c r="C8" s="128">
        <v>31</v>
      </c>
      <c r="D8" s="19">
        <v>3021.93</v>
      </c>
      <c r="E8" s="19">
        <v>3269.93</v>
      </c>
      <c r="F8" s="19">
        <v>14246.99</v>
      </c>
      <c r="G8" s="19">
        <v>2229.3000000000002</v>
      </c>
      <c r="H8" s="19">
        <v>1362.35</v>
      </c>
      <c r="I8" s="19">
        <v>1222.4000000000001</v>
      </c>
      <c r="J8" s="19">
        <v>0</v>
      </c>
      <c r="K8" s="19">
        <v>1.84</v>
      </c>
      <c r="L8" s="19">
        <v>1576.06</v>
      </c>
      <c r="M8" s="19">
        <v>941.27</v>
      </c>
      <c r="N8" s="19">
        <v>1.84</v>
      </c>
      <c r="O8" s="19">
        <v>3927.54</v>
      </c>
      <c r="P8" s="19">
        <v>248</v>
      </c>
      <c r="Q8" s="19">
        <v>4355.38</v>
      </c>
      <c r="R8" s="19">
        <v>6507.42</v>
      </c>
      <c r="S8" s="129">
        <v>3687.69</v>
      </c>
      <c r="T8" s="130">
        <f>SUM(C8:S8)</f>
        <v>46630.94</v>
      </c>
    </row>
    <row r="9" spans="1:20" s="131" customFormat="1" x14ac:dyDescent="0.25">
      <c r="A9" s="126" t="s">
        <v>13</v>
      </c>
      <c r="B9" s="127">
        <v>44421</v>
      </c>
      <c r="C9" s="128">
        <v>64</v>
      </c>
      <c r="D9" s="19">
        <v>16253.6</v>
      </c>
      <c r="E9" s="19">
        <v>13455</v>
      </c>
      <c r="F9" s="19">
        <v>89264.37</v>
      </c>
      <c r="G9" s="19">
        <v>6526.12</v>
      </c>
      <c r="H9" s="19">
        <v>2837</v>
      </c>
      <c r="I9" s="19">
        <v>2331.5300000000002</v>
      </c>
      <c r="J9" s="19">
        <v>0</v>
      </c>
      <c r="K9" s="19">
        <v>14729.58</v>
      </c>
      <c r="L9" s="19">
        <v>0</v>
      </c>
      <c r="M9" s="19">
        <v>0</v>
      </c>
      <c r="N9" s="19">
        <v>0</v>
      </c>
      <c r="O9" s="19">
        <v>20055.650000000001</v>
      </c>
      <c r="P9" s="19"/>
      <c r="Q9" s="19">
        <v>23539.96</v>
      </c>
      <c r="R9" s="19">
        <v>33914.120000000003</v>
      </c>
      <c r="S9" s="129">
        <v>17839.07</v>
      </c>
      <c r="T9" s="130">
        <f>SUM(D9:S9)</f>
        <v>240745.99999999997</v>
      </c>
    </row>
    <row r="10" spans="1:20" s="131" customFormat="1" x14ac:dyDescent="0.25">
      <c r="A10" s="126" t="s">
        <v>14</v>
      </c>
      <c r="B10" s="127">
        <v>44397</v>
      </c>
      <c r="C10" s="128">
        <v>63</v>
      </c>
      <c r="D10" s="19">
        <v>7213.2</v>
      </c>
      <c r="E10" s="19">
        <v>6353.5</v>
      </c>
      <c r="F10" s="36">
        <v>24729.56</v>
      </c>
      <c r="G10" s="19">
        <v>5107.3100000000004</v>
      </c>
      <c r="H10" s="19">
        <v>2657.74</v>
      </c>
      <c r="I10" s="19">
        <v>1583.69</v>
      </c>
      <c r="J10" s="19">
        <v>0</v>
      </c>
      <c r="K10" s="19"/>
      <c r="L10" s="19"/>
      <c r="M10" s="19">
        <v>400.98</v>
      </c>
      <c r="N10" s="19"/>
      <c r="O10" s="19">
        <v>6033.91</v>
      </c>
      <c r="P10" s="19">
        <v>133.68</v>
      </c>
      <c r="Q10" s="19"/>
      <c r="R10" s="19">
        <v>9669.27</v>
      </c>
      <c r="S10" s="129">
        <v>5533.27</v>
      </c>
      <c r="T10" s="130">
        <f>SUM(D10:S10)</f>
        <v>69416.11</v>
      </c>
    </row>
    <row r="11" spans="1:20" s="131" customFormat="1" x14ac:dyDescent="0.25">
      <c r="A11" s="126" t="s">
        <v>15</v>
      </c>
      <c r="B11" s="127">
        <v>44483</v>
      </c>
      <c r="C11" s="128">
        <v>350</v>
      </c>
      <c r="D11" s="19">
        <v>35062.639999999999</v>
      </c>
      <c r="E11" s="19">
        <v>50016.22</v>
      </c>
      <c r="F11" s="19">
        <v>121379.25</v>
      </c>
      <c r="G11" s="19">
        <v>34497.82</v>
      </c>
      <c r="H11" s="19">
        <v>17244</v>
      </c>
      <c r="I11" s="19">
        <v>10686.06</v>
      </c>
      <c r="J11" s="19"/>
      <c r="K11" s="19">
        <v>14045.52</v>
      </c>
      <c r="L11" s="19">
        <v>10.71</v>
      </c>
      <c r="M11" s="19">
        <v>1432.24</v>
      </c>
      <c r="N11" s="19">
        <v>27571.87</v>
      </c>
      <c r="O11" s="19">
        <v>39939.53</v>
      </c>
      <c r="P11" s="19">
        <v>6263.68</v>
      </c>
      <c r="Q11" s="19"/>
      <c r="R11" s="19">
        <v>66710.64</v>
      </c>
      <c r="S11" s="129">
        <v>39406.230000000003</v>
      </c>
      <c r="T11" s="130">
        <f>SUM(D11:S11)</f>
        <v>464266.41</v>
      </c>
    </row>
    <row r="12" spans="1:20" s="131" customFormat="1" x14ac:dyDescent="0.25">
      <c r="A12" s="126" t="s">
        <v>16</v>
      </c>
      <c r="B12" s="127">
        <v>44432</v>
      </c>
      <c r="C12" s="128">
        <v>35</v>
      </c>
      <c r="D12" s="19">
        <v>4208.7299999999996</v>
      </c>
      <c r="E12" s="19">
        <v>2311.37</v>
      </c>
      <c r="F12" s="19">
        <v>14849.1</v>
      </c>
      <c r="G12" s="19">
        <v>2725.32</v>
      </c>
      <c r="H12" s="19">
        <v>1276.43</v>
      </c>
      <c r="I12" s="19">
        <v>3469.9</v>
      </c>
      <c r="J12" s="19"/>
      <c r="K12" s="19">
        <v>619.6</v>
      </c>
      <c r="L12" s="19">
        <v>2257.1999999999998</v>
      </c>
      <c r="M12" s="19">
        <v>344.97</v>
      </c>
      <c r="N12" s="19"/>
      <c r="O12" s="19">
        <v>4723.24</v>
      </c>
      <c r="P12" s="19">
        <v>420</v>
      </c>
      <c r="Q12" s="19">
        <v>5205.8999999999996</v>
      </c>
      <c r="R12" s="19">
        <v>7488.79</v>
      </c>
      <c r="S12" s="129">
        <v>4251.92</v>
      </c>
      <c r="T12" s="130">
        <f>SUM(D12:S12)</f>
        <v>54152.47</v>
      </c>
    </row>
    <row r="13" spans="1:20" s="131" customFormat="1" x14ac:dyDescent="0.25">
      <c r="A13" s="126" t="s">
        <v>17</v>
      </c>
      <c r="B13" s="127">
        <v>44417</v>
      </c>
      <c r="C13" s="128">
        <v>16</v>
      </c>
      <c r="D13" s="19">
        <v>621.83000000000004</v>
      </c>
      <c r="E13" s="19">
        <v>1977.64</v>
      </c>
      <c r="F13" s="19">
        <v>2437.63</v>
      </c>
      <c r="G13" s="19">
        <v>468.92</v>
      </c>
      <c r="H13" s="19">
        <v>432.6</v>
      </c>
      <c r="I13" s="19">
        <v>319.88</v>
      </c>
      <c r="J13" s="19">
        <v>0</v>
      </c>
      <c r="K13" s="19">
        <v>0</v>
      </c>
      <c r="L13" s="19"/>
      <c r="M13" s="19">
        <v>101.94</v>
      </c>
      <c r="N13" s="19">
        <v>499.51</v>
      </c>
      <c r="O13" s="19">
        <v>1031.01</v>
      </c>
      <c r="P13" s="19">
        <v>304</v>
      </c>
      <c r="Q13" s="19">
        <v>1105.46</v>
      </c>
      <c r="R13" s="19">
        <v>1580.98</v>
      </c>
      <c r="S13" s="129">
        <v>1030.5</v>
      </c>
      <c r="T13" s="132">
        <f>SUM(D13:S13)</f>
        <v>11911.900000000001</v>
      </c>
    </row>
    <row r="14" spans="1:20" s="131" customFormat="1" x14ac:dyDescent="0.25">
      <c r="A14" s="126" t="s">
        <v>18</v>
      </c>
      <c r="B14" s="127">
        <v>44454</v>
      </c>
      <c r="C14" s="128">
        <v>11</v>
      </c>
      <c r="D14" s="19">
        <v>150.63</v>
      </c>
      <c r="E14" s="19">
        <v>210.4</v>
      </c>
      <c r="F14" s="19">
        <v>777.23</v>
      </c>
      <c r="G14" s="19">
        <v>189.66</v>
      </c>
      <c r="H14" s="19">
        <v>98.6</v>
      </c>
      <c r="I14" s="19">
        <v>187.19</v>
      </c>
      <c r="J14" s="19">
        <v>0</v>
      </c>
      <c r="K14" s="19">
        <v>3.94</v>
      </c>
      <c r="L14" s="19">
        <v>0</v>
      </c>
      <c r="M14" s="19">
        <v>32.229999999999997</v>
      </c>
      <c r="N14" s="19">
        <v>0</v>
      </c>
      <c r="O14" s="19">
        <v>256.45</v>
      </c>
      <c r="P14" s="19">
        <v>55</v>
      </c>
      <c r="Q14" s="19">
        <v>270.93</v>
      </c>
      <c r="R14" s="19">
        <v>396.28</v>
      </c>
      <c r="S14" s="129">
        <v>358.12</v>
      </c>
      <c r="T14" s="130">
        <f t="shared" ref="T14:T20" si="1">SUM(D14:S14)</f>
        <v>2986.66</v>
      </c>
    </row>
    <row r="15" spans="1:20" s="131" customFormat="1" x14ac:dyDescent="0.25">
      <c r="A15" s="126" t="s">
        <v>19</v>
      </c>
      <c r="B15" s="127">
        <v>44396</v>
      </c>
      <c r="C15" s="128">
        <v>46</v>
      </c>
      <c r="D15" s="19">
        <v>2202.5100000000002</v>
      </c>
      <c r="E15" s="19">
        <v>2679.13</v>
      </c>
      <c r="F15" s="19">
        <v>10457.32</v>
      </c>
      <c r="G15" s="19">
        <v>1500.18</v>
      </c>
      <c r="H15" s="19">
        <v>559.64</v>
      </c>
      <c r="I15" s="19">
        <v>892.53</v>
      </c>
      <c r="J15" s="19"/>
      <c r="K15" s="19">
        <v>1902.81</v>
      </c>
      <c r="L15" s="19"/>
      <c r="M15" s="19">
        <v>180.55</v>
      </c>
      <c r="N15" s="19"/>
      <c r="O15" s="19">
        <v>2642.65</v>
      </c>
      <c r="P15" s="19"/>
      <c r="Q15" s="19"/>
      <c r="R15" s="19">
        <v>4039.73</v>
      </c>
      <c r="S15" s="129">
        <v>2663.9</v>
      </c>
      <c r="T15" s="130">
        <f t="shared" si="1"/>
        <v>29720.95</v>
      </c>
    </row>
    <row r="16" spans="1:20" s="131" customFormat="1" x14ac:dyDescent="0.25">
      <c r="A16" s="126" t="s">
        <v>20</v>
      </c>
      <c r="B16" s="127">
        <v>44392</v>
      </c>
      <c r="C16" s="128">
        <v>161</v>
      </c>
      <c r="D16" s="19">
        <v>20505.03</v>
      </c>
      <c r="E16" s="19">
        <v>15798.9</v>
      </c>
      <c r="F16" s="19">
        <v>120341.02</v>
      </c>
      <c r="G16" s="19">
        <v>10420.59</v>
      </c>
      <c r="H16" s="19">
        <v>4033.74</v>
      </c>
      <c r="I16" s="19">
        <v>1495.9</v>
      </c>
      <c r="J16" s="19"/>
      <c r="K16" s="19">
        <v>18642.36</v>
      </c>
      <c r="L16" s="19">
        <v>3406.87</v>
      </c>
      <c r="M16" s="19">
        <v>4.4000000000000004</v>
      </c>
      <c r="N16" s="19"/>
      <c r="O16" s="19">
        <v>26555.71</v>
      </c>
      <c r="P16" s="19">
        <v>2080</v>
      </c>
      <c r="Q16" s="19">
        <v>28472.39</v>
      </c>
      <c r="R16" s="19">
        <v>43995.9</v>
      </c>
      <c r="S16" s="129">
        <v>24251.89</v>
      </c>
      <c r="T16" s="130">
        <f t="shared" si="1"/>
        <v>320004.7</v>
      </c>
    </row>
    <row r="17" spans="1:21" s="131" customFormat="1" x14ac:dyDescent="0.25">
      <c r="A17" s="126" t="s">
        <v>21</v>
      </c>
      <c r="B17" s="127">
        <v>44435</v>
      </c>
      <c r="C17" s="128">
        <v>0</v>
      </c>
      <c r="D17" s="19">
        <v>1035.18</v>
      </c>
      <c r="E17" s="19">
        <v>670.35</v>
      </c>
      <c r="F17" s="19">
        <v>3538.39</v>
      </c>
      <c r="G17" s="19">
        <v>610.01</v>
      </c>
      <c r="H17" s="19">
        <v>212.21</v>
      </c>
      <c r="I17" s="19">
        <v>610.53</v>
      </c>
      <c r="J17" s="19"/>
      <c r="K17" s="19">
        <v>1632.74</v>
      </c>
      <c r="L17" s="19"/>
      <c r="M17" s="19"/>
      <c r="N17" s="19"/>
      <c r="O17" s="19">
        <v>1110.07</v>
      </c>
      <c r="P17" s="19"/>
      <c r="Q17" s="19"/>
      <c r="R17" s="19">
        <v>1714.04</v>
      </c>
      <c r="S17" s="129">
        <v>1091.07</v>
      </c>
      <c r="T17" s="130">
        <f t="shared" si="1"/>
        <v>12224.59</v>
      </c>
      <c r="U17" s="129"/>
    </row>
    <row r="18" spans="1:21" s="131" customFormat="1" x14ac:dyDescent="0.25">
      <c r="A18" s="126" t="s">
        <v>22</v>
      </c>
      <c r="B18" s="127">
        <v>44420</v>
      </c>
      <c r="C18" s="128">
        <v>38</v>
      </c>
      <c r="D18" s="19">
        <v>2240.0500000000002</v>
      </c>
      <c r="E18" s="19">
        <v>1781.02</v>
      </c>
      <c r="F18" s="19">
        <v>9440.92</v>
      </c>
      <c r="G18" s="19">
        <v>1083.31</v>
      </c>
      <c r="H18" s="19">
        <v>918.06</v>
      </c>
      <c r="I18" s="19">
        <v>816.69</v>
      </c>
      <c r="J18" s="19">
        <v>0</v>
      </c>
      <c r="K18" s="19">
        <v>2.7</v>
      </c>
      <c r="L18" s="19">
        <v>0</v>
      </c>
      <c r="M18" s="19">
        <v>187.16</v>
      </c>
      <c r="N18" s="19">
        <v>0</v>
      </c>
      <c r="O18" s="19">
        <v>2495.5100000000002</v>
      </c>
      <c r="P18" s="19">
        <v>228</v>
      </c>
      <c r="Q18" s="19">
        <v>2703.66</v>
      </c>
      <c r="R18" s="19">
        <v>3868.34</v>
      </c>
      <c r="S18" s="129">
        <v>2542.1799999999998</v>
      </c>
      <c r="T18" s="130">
        <f t="shared" si="1"/>
        <v>28307.599999999999</v>
      </c>
    </row>
    <row r="19" spans="1:21" s="131" customFormat="1" x14ac:dyDescent="0.25">
      <c r="A19" s="126" t="s">
        <v>23</v>
      </c>
      <c r="B19" s="127">
        <v>44432</v>
      </c>
      <c r="C19" s="128">
        <v>112</v>
      </c>
      <c r="D19" s="19">
        <v>7822.24</v>
      </c>
      <c r="E19" s="19">
        <v>8655.91</v>
      </c>
      <c r="F19" s="19">
        <v>22000.41</v>
      </c>
      <c r="G19" s="19">
        <v>3718.82</v>
      </c>
      <c r="H19" s="19">
        <v>1795.31</v>
      </c>
      <c r="I19" s="19">
        <v>1112.5</v>
      </c>
      <c r="J19" s="19">
        <v>0</v>
      </c>
      <c r="K19" s="19">
        <v>3429.63</v>
      </c>
      <c r="L19" s="19">
        <v>8.5399999999999991</v>
      </c>
      <c r="M19" s="19">
        <v>320.70999999999998</v>
      </c>
      <c r="N19" s="19"/>
      <c r="O19" s="19">
        <v>7234.39</v>
      </c>
      <c r="P19" s="19">
        <v>1992.42</v>
      </c>
      <c r="Q19" s="19">
        <v>8545.51</v>
      </c>
      <c r="R19" s="19">
        <v>11503.29</v>
      </c>
      <c r="S19" s="129">
        <v>6847.84</v>
      </c>
      <c r="T19" s="130">
        <f t="shared" si="1"/>
        <v>84987.51999999999</v>
      </c>
    </row>
    <row r="20" spans="1:21" s="131" customFormat="1" x14ac:dyDescent="0.25">
      <c r="A20" s="126" t="s">
        <v>24</v>
      </c>
      <c r="B20" s="127">
        <v>44412</v>
      </c>
      <c r="C20" s="128">
        <v>150</v>
      </c>
      <c r="D20" s="19">
        <v>18896.439999999999</v>
      </c>
      <c r="E20" s="19">
        <v>27570.22</v>
      </c>
      <c r="F20" s="19">
        <v>50234.67</v>
      </c>
      <c r="G20" s="19">
        <v>11461.78</v>
      </c>
      <c r="H20" s="19">
        <v>3872.18</v>
      </c>
      <c r="I20" s="19">
        <v>3639.91</v>
      </c>
      <c r="J20" s="19">
        <v>0</v>
      </c>
      <c r="K20" s="19">
        <v>5811.65</v>
      </c>
      <c r="L20" s="19">
        <v>0</v>
      </c>
      <c r="M20" s="19">
        <v>484.73</v>
      </c>
      <c r="N20" s="19">
        <v>0</v>
      </c>
      <c r="O20" s="19">
        <v>17388.560000000001</v>
      </c>
      <c r="P20" s="19">
        <v>4500</v>
      </c>
      <c r="Q20" s="19">
        <v>19771.87</v>
      </c>
      <c r="R20" s="19">
        <v>26644.720000000001</v>
      </c>
      <c r="S20" s="129">
        <v>18422.259999999998</v>
      </c>
      <c r="T20" s="130">
        <f t="shared" si="1"/>
        <v>208698.99</v>
      </c>
    </row>
    <row r="21" spans="1:21" s="131" customFormat="1" x14ac:dyDescent="0.25">
      <c r="A21" s="126" t="s">
        <v>25</v>
      </c>
      <c r="B21" s="127">
        <v>44425</v>
      </c>
      <c r="C21" s="128">
        <v>0</v>
      </c>
      <c r="D21" s="19">
        <v>0</v>
      </c>
      <c r="E21" s="19">
        <v>0</v>
      </c>
      <c r="F21" s="19">
        <v>0</v>
      </c>
      <c r="G21" s="19">
        <v>0</v>
      </c>
      <c r="H21" s="19">
        <v>0</v>
      </c>
      <c r="I21" s="19">
        <v>0</v>
      </c>
      <c r="J21" s="19">
        <v>0</v>
      </c>
      <c r="K21" s="19">
        <v>0</v>
      </c>
      <c r="L21" s="19">
        <v>0</v>
      </c>
      <c r="M21" s="19">
        <v>0</v>
      </c>
      <c r="N21" s="19">
        <v>0</v>
      </c>
      <c r="O21" s="19">
        <v>0</v>
      </c>
      <c r="P21" s="19">
        <v>0</v>
      </c>
      <c r="Q21" s="19">
        <v>0</v>
      </c>
      <c r="R21" s="19">
        <v>0</v>
      </c>
      <c r="S21" s="129">
        <v>0</v>
      </c>
      <c r="T21" s="130">
        <v>0</v>
      </c>
      <c r="U21" s="129"/>
    </row>
    <row r="22" spans="1:21" s="131" customFormat="1" x14ac:dyDescent="0.25">
      <c r="A22" s="126" t="s">
        <v>26</v>
      </c>
      <c r="B22" s="127">
        <v>44424</v>
      </c>
      <c r="C22" s="128">
        <v>28</v>
      </c>
      <c r="D22" s="19">
        <v>5767.42</v>
      </c>
      <c r="E22" s="19">
        <v>1512.76</v>
      </c>
      <c r="F22" s="19">
        <v>29931.68</v>
      </c>
      <c r="G22" s="19">
        <v>5341.98</v>
      </c>
      <c r="H22" s="19">
        <v>2552.81</v>
      </c>
      <c r="I22" s="19">
        <v>2282.4</v>
      </c>
      <c r="J22" s="19"/>
      <c r="K22" s="19">
        <v>2732</v>
      </c>
      <c r="L22" s="19">
        <v>2298.9</v>
      </c>
      <c r="M22" s="19">
        <v>2.46</v>
      </c>
      <c r="N22" s="19"/>
      <c r="O22" s="19">
        <v>7564.88</v>
      </c>
      <c r="P22" s="19">
        <v>532</v>
      </c>
      <c r="Q22" s="19">
        <v>8348.73</v>
      </c>
      <c r="R22" s="19">
        <v>11954.22</v>
      </c>
      <c r="S22" s="129">
        <v>6397.12</v>
      </c>
      <c r="T22" s="130">
        <f>SUM(D22:S22)</f>
        <v>87219.359999999986</v>
      </c>
    </row>
    <row r="23" spans="1:21" s="131" customFormat="1" x14ac:dyDescent="0.25">
      <c r="A23" s="126" t="s">
        <v>27</v>
      </c>
      <c r="B23" s="127">
        <v>44435</v>
      </c>
      <c r="C23" s="128">
        <v>96</v>
      </c>
      <c r="D23" s="19">
        <v>7233.6</v>
      </c>
      <c r="E23" s="19">
        <v>6631.91</v>
      </c>
      <c r="F23" s="19">
        <v>28519.34</v>
      </c>
      <c r="G23" s="19">
        <v>0</v>
      </c>
      <c r="H23" s="19">
        <v>3557.5</v>
      </c>
      <c r="I23" s="19">
        <v>2748.77</v>
      </c>
      <c r="J23" s="19">
        <v>0</v>
      </c>
      <c r="K23" s="19">
        <v>0</v>
      </c>
      <c r="L23" s="19"/>
      <c r="M23" s="19"/>
      <c r="N23" s="19">
        <v>5929.17</v>
      </c>
      <c r="O23" s="19">
        <v>6965.84</v>
      </c>
      <c r="P23" s="19">
        <v>190</v>
      </c>
      <c r="Q23" s="19"/>
      <c r="R23" s="19">
        <v>10487.09</v>
      </c>
      <c r="S23" s="129">
        <v>6668.49</v>
      </c>
      <c r="T23" s="130">
        <f>SUM(D23:S23)</f>
        <v>78931.709999999992</v>
      </c>
    </row>
    <row r="24" spans="1:21" s="131" customFormat="1" x14ac:dyDescent="0.25">
      <c r="A24" s="126" t="s">
        <v>28</v>
      </c>
      <c r="B24" s="127">
        <v>44440</v>
      </c>
      <c r="C24" s="128">
        <v>34</v>
      </c>
      <c r="D24" s="19">
        <v>1356.14</v>
      </c>
      <c r="E24" s="19">
        <v>755.9</v>
      </c>
      <c r="F24" s="19">
        <v>5602.47</v>
      </c>
      <c r="G24" s="19">
        <v>1044.9100000000001</v>
      </c>
      <c r="H24" s="19">
        <v>477.29</v>
      </c>
      <c r="I24" s="19">
        <v>219</v>
      </c>
      <c r="J24" s="19">
        <v>689.18</v>
      </c>
      <c r="K24" s="19">
        <v>5.13</v>
      </c>
      <c r="L24" s="19"/>
      <c r="M24" s="19">
        <v>277.95</v>
      </c>
      <c r="N24" s="19">
        <v>655.83</v>
      </c>
      <c r="O24" s="19">
        <v>1720.31</v>
      </c>
      <c r="P24" s="19">
        <v>374</v>
      </c>
      <c r="Q24" s="19">
        <v>1943.32</v>
      </c>
      <c r="R24" s="19">
        <v>2605.6</v>
      </c>
      <c r="S24" s="129">
        <v>1642.8</v>
      </c>
      <c r="T24" s="130">
        <f t="shared" ref="T24:T29" si="2">SUM(D24:S24)</f>
        <v>19369.829999999998</v>
      </c>
    </row>
    <row r="25" spans="1:21" s="131" customFormat="1" x14ac:dyDescent="0.25">
      <c r="A25" s="126" t="s">
        <v>29</v>
      </c>
      <c r="B25" s="127">
        <v>44439</v>
      </c>
      <c r="C25" s="128">
        <v>97</v>
      </c>
      <c r="D25" s="19">
        <v>7083.21</v>
      </c>
      <c r="E25" s="19">
        <v>10857.11</v>
      </c>
      <c r="F25" s="19">
        <v>24559.1</v>
      </c>
      <c r="G25" s="19">
        <v>0</v>
      </c>
      <c r="H25" s="19">
        <v>1857.88</v>
      </c>
      <c r="I25" s="19">
        <v>1393.46</v>
      </c>
      <c r="J25" s="19">
        <v>0</v>
      </c>
      <c r="K25" s="19">
        <v>2185.8000000000002</v>
      </c>
      <c r="L25" s="19"/>
      <c r="M25" s="19">
        <v>232.25</v>
      </c>
      <c r="N25" s="19"/>
      <c r="O25" s="19">
        <v>7167.16</v>
      </c>
      <c r="P25" s="19"/>
      <c r="Q25" s="19">
        <v>7824.55</v>
      </c>
      <c r="R25" s="19">
        <v>11380.7</v>
      </c>
      <c r="S25" s="129">
        <v>7151.32</v>
      </c>
      <c r="T25" s="130">
        <f t="shared" si="2"/>
        <v>81692.540000000008</v>
      </c>
      <c r="U25" s="133"/>
    </row>
    <row r="26" spans="1:21" s="131" customFormat="1" x14ac:dyDescent="0.25">
      <c r="A26" s="126" t="s">
        <v>30</v>
      </c>
      <c r="B26" s="127">
        <v>44431</v>
      </c>
      <c r="C26" s="128">
        <v>60</v>
      </c>
      <c r="D26" s="19">
        <v>12117.21</v>
      </c>
      <c r="E26" s="19">
        <v>8756.4</v>
      </c>
      <c r="F26" s="19">
        <v>62052.97</v>
      </c>
      <c r="G26" s="19">
        <v>6237.8</v>
      </c>
      <c r="H26" s="19">
        <v>4532.05</v>
      </c>
      <c r="I26" s="19">
        <v>3180.26</v>
      </c>
      <c r="J26" s="19">
        <v>0</v>
      </c>
      <c r="K26" s="19">
        <v>0</v>
      </c>
      <c r="L26" s="19">
        <v>0</v>
      </c>
      <c r="M26" s="19">
        <v>0</v>
      </c>
      <c r="N26" s="19">
        <v>0</v>
      </c>
      <c r="O26" s="19">
        <v>14064.42</v>
      </c>
      <c r="P26" s="19">
        <v>1408</v>
      </c>
      <c r="Q26" s="19">
        <v>16157.92</v>
      </c>
      <c r="R26" s="19">
        <v>26228.42</v>
      </c>
      <c r="S26" s="129">
        <v>15370.07</v>
      </c>
      <c r="T26" s="130">
        <f t="shared" si="2"/>
        <v>170105.52000000002</v>
      </c>
    </row>
    <row r="27" spans="1:21" s="131" customFormat="1" x14ac:dyDescent="0.25">
      <c r="A27" s="126" t="s">
        <v>31</v>
      </c>
      <c r="B27" s="127">
        <v>44454</v>
      </c>
      <c r="C27" s="128">
        <v>61</v>
      </c>
      <c r="D27" s="19">
        <v>4051.83</v>
      </c>
      <c r="E27" s="19">
        <v>4375.16</v>
      </c>
      <c r="F27" s="19">
        <v>21787.07</v>
      </c>
      <c r="G27" s="19">
        <v>4051.83</v>
      </c>
      <c r="H27" s="19">
        <v>2324.84</v>
      </c>
      <c r="I27" s="19">
        <v>3096.73</v>
      </c>
      <c r="J27" s="19">
        <v>0</v>
      </c>
      <c r="K27" s="19">
        <v>56.84</v>
      </c>
      <c r="L27" s="19">
        <v>0</v>
      </c>
      <c r="M27" s="19">
        <v>531.88</v>
      </c>
      <c r="N27" s="19">
        <v>0</v>
      </c>
      <c r="O27" s="19">
        <v>5157.79</v>
      </c>
      <c r="P27" s="19"/>
      <c r="Q27" s="19">
        <v>0</v>
      </c>
      <c r="R27" s="19">
        <v>7933.17</v>
      </c>
      <c r="S27" s="129">
        <v>4820.5</v>
      </c>
      <c r="T27" s="130">
        <f t="shared" si="2"/>
        <v>58187.639999999992</v>
      </c>
    </row>
    <row r="28" spans="1:21" s="131" customFormat="1" x14ac:dyDescent="0.25">
      <c r="A28" s="126" t="s">
        <v>32</v>
      </c>
      <c r="B28" s="127">
        <v>44453</v>
      </c>
      <c r="C28" s="128">
        <v>25</v>
      </c>
      <c r="D28" s="19">
        <v>1582.83</v>
      </c>
      <c r="E28" s="19">
        <v>843.31</v>
      </c>
      <c r="F28" s="19">
        <v>5929.12</v>
      </c>
      <c r="G28" s="19">
        <v>635.73</v>
      </c>
      <c r="H28" s="19">
        <v>454.09</v>
      </c>
      <c r="I28" s="19">
        <v>1164.28</v>
      </c>
      <c r="J28" s="19">
        <v>0</v>
      </c>
      <c r="K28" s="19">
        <v>17.5</v>
      </c>
      <c r="L28" s="19">
        <v>50</v>
      </c>
      <c r="M28" s="19">
        <v>236.13</v>
      </c>
      <c r="N28" s="19">
        <v>0</v>
      </c>
      <c r="O28" s="19">
        <v>1684.77</v>
      </c>
      <c r="P28" s="19">
        <v>200</v>
      </c>
      <c r="Q28" s="19">
        <v>2194.44</v>
      </c>
      <c r="R28" s="19">
        <v>2553.4899999999998</v>
      </c>
      <c r="S28" s="129">
        <v>1637.06</v>
      </c>
      <c r="T28" s="130">
        <f t="shared" si="2"/>
        <v>19182.750000000004</v>
      </c>
    </row>
    <row r="29" spans="1:21" s="131" customFormat="1" x14ac:dyDescent="0.25">
      <c r="A29" s="126" t="s">
        <v>33</v>
      </c>
      <c r="B29" s="127">
        <v>44434</v>
      </c>
      <c r="C29" s="128">
        <v>30</v>
      </c>
      <c r="D29" s="19">
        <v>2362.52</v>
      </c>
      <c r="E29" s="19">
        <v>2516.34</v>
      </c>
      <c r="F29" s="19">
        <v>9411.39</v>
      </c>
      <c r="G29" s="19">
        <v>968.25</v>
      </c>
      <c r="H29" s="19">
        <v>580.95000000000005</v>
      </c>
      <c r="I29" s="19">
        <v>747.71</v>
      </c>
      <c r="J29" s="19">
        <v>0</v>
      </c>
      <c r="K29" s="19" t="s">
        <v>164</v>
      </c>
      <c r="L29" s="19"/>
      <c r="M29" s="19"/>
      <c r="N29" s="19">
        <v>0</v>
      </c>
      <c r="O29" s="19">
        <v>2249.35</v>
      </c>
      <c r="P29" s="19">
        <v>60</v>
      </c>
      <c r="Q29" s="19"/>
      <c r="R29" s="19">
        <v>3389.78</v>
      </c>
      <c r="S29" s="129">
        <v>2144.89</v>
      </c>
      <c r="T29" s="130">
        <f t="shared" si="2"/>
        <v>24431.179999999997</v>
      </c>
    </row>
    <row r="30" spans="1:21" s="137" customFormat="1" x14ac:dyDescent="0.25">
      <c r="A30" s="134" t="s">
        <v>34</v>
      </c>
      <c r="B30" s="135">
        <v>44412</v>
      </c>
      <c r="C30" s="128">
        <v>100</v>
      </c>
      <c r="D30" s="25">
        <v>1744.56</v>
      </c>
      <c r="E30" s="25">
        <v>864.59</v>
      </c>
      <c r="F30" s="25">
        <v>6048.74</v>
      </c>
      <c r="G30" s="25">
        <v>1058.18</v>
      </c>
      <c r="H30" s="25">
        <v>500.49</v>
      </c>
      <c r="I30" s="25">
        <v>945.18</v>
      </c>
      <c r="J30" s="25">
        <v>0</v>
      </c>
      <c r="K30" s="25">
        <v>12.19</v>
      </c>
      <c r="L30" s="25">
        <v>0</v>
      </c>
      <c r="M30" s="25">
        <v>343.2</v>
      </c>
      <c r="N30" s="25">
        <v>815.07</v>
      </c>
      <c r="O30" s="25">
        <v>0</v>
      </c>
      <c r="P30" s="25">
        <v>0</v>
      </c>
      <c r="Q30" s="25"/>
      <c r="R30" s="25">
        <v>2399.92</v>
      </c>
      <c r="S30" s="136">
        <v>1679.96</v>
      </c>
      <c r="T30" s="130">
        <f>SUM(D30:S30)</f>
        <v>16412.080000000002</v>
      </c>
    </row>
    <row r="31" spans="1:21" s="131" customFormat="1" x14ac:dyDescent="0.25">
      <c r="A31" s="126" t="s">
        <v>35</v>
      </c>
      <c r="B31" s="127">
        <v>44424</v>
      </c>
      <c r="C31" s="128">
        <v>144</v>
      </c>
      <c r="D31" s="19">
        <v>12999.16</v>
      </c>
      <c r="E31" s="19">
        <v>14277.75</v>
      </c>
      <c r="F31" s="19">
        <v>44991.08</v>
      </c>
      <c r="G31" s="19">
        <v>6712.73</v>
      </c>
      <c r="H31" s="19">
        <v>4262.01</v>
      </c>
      <c r="I31" s="19">
        <v>915.29</v>
      </c>
      <c r="J31" s="19">
        <v>0</v>
      </c>
      <c r="K31" s="19">
        <v>1335</v>
      </c>
      <c r="L31" s="19">
        <v>129.5</v>
      </c>
      <c r="M31" s="19">
        <v>0</v>
      </c>
      <c r="N31" s="19">
        <v>0</v>
      </c>
      <c r="O31" s="19">
        <v>12020</v>
      </c>
      <c r="P31" s="19">
        <v>3725.28</v>
      </c>
      <c r="Q31" s="19">
        <v>12810.45</v>
      </c>
      <c r="R31" s="19">
        <v>19974.64</v>
      </c>
      <c r="S31" s="129">
        <v>12003.26</v>
      </c>
      <c r="T31" s="130">
        <f>SUM(D31:S31)</f>
        <v>146156.15</v>
      </c>
    </row>
    <row r="32" spans="1:21" s="131" customFormat="1" x14ac:dyDescent="0.25">
      <c r="A32" s="126" t="s">
        <v>36</v>
      </c>
      <c r="B32" s="127">
        <v>44453</v>
      </c>
      <c r="C32" s="128">
        <v>58</v>
      </c>
      <c r="D32" s="19">
        <v>5370.04</v>
      </c>
      <c r="E32" s="19">
        <v>6118.32</v>
      </c>
      <c r="F32" s="19">
        <v>20203.740000000002</v>
      </c>
      <c r="G32" s="19">
        <v>3301.32</v>
      </c>
      <c r="H32" s="19">
        <v>1100.46</v>
      </c>
      <c r="I32" s="19">
        <v>790.56</v>
      </c>
      <c r="J32" s="19"/>
      <c r="K32" s="19">
        <v>1938.97</v>
      </c>
      <c r="L32" s="19"/>
      <c r="M32" s="19">
        <v>440.17</v>
      </c>
      <c r="N32" s="19"/>
      <c r="O32" s="19">
        <v>5560.32</v>
      </c>
      <c r="P32" s="19"/>
      <c r="Q32" s="19"/>
      <c r="R32" s="19">
        <v>8637.9</v>
      </c>
      <c r="S32" s="129">
        <v>4869.9799999999996</v>
      </c>
      <c r="T32" s="130">
        <f>SUM(D32:S32)</f>
        <v>58331.78</v>
      </c>
    </row>
    <row r="33" spans="1:21" s="131" customFormat="1" x14ac:dyDescent="0.25">
      <c r="A33" s="126" t="s">
        <v>37</v>
      </c>
      <c r="B33" s="127">
        <v>44433</v>
      </c>
      <c r="C33" s="128">
        <v>7</v>
      </c>
      <c r="D33" s="19">
        <v>244.11</v>
      </c>
      <c r="E33" s="19">
        <v>221.18</v>
      </c>
      <c r="F33" s="19">
        <v>866.63</v>
      </c>
      <c r="G33" s="19">
        <v>0</v>
      </c>
      <c r="H33" s="19">
        <v>160.05000000000001</v>
      </c>
      <c r="I33" s="19">
        <v>150.19999999999999</v>
      </c>
      <c r="J33" s="19">
        <v>0</v>
      </c>
      <c r="K33" s="19">
        <v>0</v>
      </c>
      <c r="L33" s="19">
        <v>0.68</v>
      </c>
      <c r="M33" s="19">
        <v>124.7</v>
      </c>
      <c r="N33" s="19">
        <v>186.2</v>
      </c>
      <c r="O33" s="19">
        <v>303.35000000000002</v>
      </c>
      <c r="P33" s="19">
        <v>35</v>
      </c>
      <c r="Q33" s="19">
        <v>665</v>
      </c>
      <c r="R33" s="19">
        <v>524.96</v>
      </c>
      <c r="S33" s="129">
        <v>366.98</v>
      </c>
      <c r="T33" s="130">
        <f>SUM(D33:S33)</f>
        <v>3849.0400000000004</v>
      </c>
    </row>
    <row r="34" spans="1:21" s="131" customFormat="1" x14ac:dyDescent="0.25">
      <c r="A34" s="126" t="s">
        <v>38</v>
      </c>
      <c r="B34" s="127">
        <v>44434</v>
      </c>
      <c r="C34" s="128">
        <v>34</v>
      </c>
      <c r="D34" s="19">
        <v>1824.07</v>
      </c>
      <c r="E34" s="19">
        <v>1315.71</v>
      </c>
      <c r="F34" s="19">
        <v>7640.18</v>
      </c>
      <c r="G34" s="19">
        <v>1958.65</v>
      </c>
      <c r="H34" s="19">
        <v>1196.1099999999999</v>
      </c>
      <c r="I34" s="19">
        <v>1016.68</v>
      </c>
      <c r="J34" s="19">
        <v>0</v>
      </c>
      <c r="K34" s="19">
        <v>17.010000000000002</v>
      </c>
      <c r="L34" s="19">
        <v>56.5</v>
      </c>
      <c r="M34" s="19">
        <v>224.26</v>
      </c>
      <c r="N34" s="19">
        <v>1495.14</v>
      </c>
      <c r="O34" s="19">
        <v>2578.52</v>
      </c>
      <c r="P34" s="19">
        <v>170</v>
      </c>
      <c r="Q34" s="19">
        <v>2724.28</v>
      </c>
      <c r="R34" s="19">
        <v>3961.71</v>
      </c>
      <c r="S34" s="129">
        <v>2456.88</v>
      </c>
      <c r="T34" s="130">
        <f t="shared" ref="T34:T42" si="3">SUM(D34:S34)</f>
        <v>28635.7</v>
      </c>
    </row>
    <row r="35" spans="1:21" s="131" customFormat="1" x14ac:dyDescent="0.25">
      <c r="A35" s="126" t="s">
        <v>39</v>
      </c>
      <c r="B35" s="127">
        <v>44400</v>
      </c>
      <c r="C35" s="128">
        <v>229</v>
      </c>
      <c r="D35" s="19">
        <v>47400.29</v>
      </c>
      <c r="E35" s="19">
        <v>33591.160000000003</v>
      </c>
      <c r="F35" s="19">
        <v>314706.87</v>
      </c>
      <c r="G35" s="19">
        <v>0</v>
      </c>
      <c r="H35" s="19">
        <v>10878.76</v>
      </c>
      <c r="I35" s="19">
        <v>24836.63</v>
      </c>
      <c r="J35" s="19">
        <v>0</v>
      </c>
      <c r="K35" s="19">
        <v>0</v>
      </c>
      <c r="L35" s="19">
        <v>57274.1</v>
      </c>
      <c r="M35" s="19">
        <v>233.14</v>
      </c>
      <c r="N35" s="19"/>
      <c r="O35" s="19">
        <v>64441.29</v>
      </c>
      <c r="P35" s="19">
        <v>8736</v>
      </c>
      <c r="Q35" s="19">
        <v>72982.34</v>
      </c>
      <c r="R35" s="19">
        <v>112828.64</v>
      </c>
      <c r="S35" s="129">
        <v>59550.45</v>
      </c>
      <c r="T35" s="130">
        <f t="shared" si="3"/>
        <v>807459.66999999993</v>
      </c>
    </row>
    <row r="36" spans="1:21" s="131" customFormat="1" x14ac:dyDescent="0.25">
      <c r="A36" s="126" t="s">
        <v>40</v>
      </c>
      <c r="B36" s="127">
        <v>44428</v>
      </c>
      <c r="C36" s="128">
        <v>47</v>
      </c>
      <c r="D36" s="19">
        <v>2240.79</v>
      </c>
      <c r="E36" s="19">
        <v>2938.72</v>
      </c>
      <c r="F36" s="19">
        <v>8430.43</v>
      </c>
      <c r="G36" s="19">
        <v>1653.03</v>
      </c>
      <c r="H36" s="19">
        <v>918.35</v>
      </c>
      <c r="I36" s="19">
        <v>854.62</v>
      </c>
      <c r="J36" s="19">
        <v>0</v>
      </c>
      <c r="K36" s="19">
        <v>0</v>
      </c>
      <c r="L36" s="19">
        <v>4.33</v>
      </c>
      <c r="M36" s="19">
        <v>275.47000000000003</v>
      </c>
      <c r="N36" s="19">
        <v>1616.29</v>
      </c>
      <c r="O36" s="19">
        <v>2726.6</v>
      </c>
      <c r="P36" s="19">
        <v>940</v>
      </c>
      <c r="Q36" s="19">
        <v>3089.05</v>
      </c>
      <c r="R36" s="19">
        <v>4427.79</v>
      </c>
      <c r="S36" s="129">
        <v>2918.86</v>
      </c>
      <c r="T36" s="130">
        <f t="shared" si="3"/>
        <v>33034.33</v>
      </c>
    </row>
    <row r="37" spans="1:21" s="131" customFormat="1" x14ac:dyDescent="0.25">
      <c r="A37" s="126" t="s">
        <v>41</v>
      </c>
      <c r="B37" s="127">
        <v>44462</v>
      </c>
      <c r="C37" s="128">
        <v>203</v>
      </c>
      <c r="D37" s="19">
        <v>17061.41</v>
      </c>
      <c r="E37" s="19">
        <v>16921.77</v>
      </c>
      <c r="F37" s="19">
        <v>96634.81</v>
      </c>
      <c r="G37" s="19">
        <v>8670.49</v>
      </c>
      <c r="H37" s="19">
        <v>8390.91</v>
      </c>
      <c r="I37" s="19">
        <v>5732.36</v>
      </c>
      <c r="J37" s="19">
        <v>0</v>
      </c>
      <c r="K37" s="19">
        <v>9334.4500000000007</v>
      </c>
      <c r="L37" s="19"/>
      <c r="M37" s="19">
        <v>2656.98</v>
      </c>
      <c r="N37" s="19">
        <v>0</v>
      </c>
      <c r="O37" s="19">
        <v>24221</v>
      </c>
      <c r="P37" s="19">
        <v>2418.5</v>
      </c>
      <c r="Q37" s="19">
        <v>28864.19</v>
      </c>
      <c r="R37" s="19">
        <v>39196.04</v>
      </c>
      <c r="S37" s="129">
        <v>28433.33</v>
      </c>
      <c r="T37" s="130">
        <f t="shared" si="3"/>
        <v>288536.24</v>
      </c>
    </row>
    <row r="38" spans="1:21" s="131" customFormat="1" x14ac:dyDescent="0.25">
      <c r="A38" s="126" t="s">
        <v>42</v>
      </c>
      <c r="B38" s="127">
        <v>44391</v>
      </c>
      <c r="C38" s="128">
        <v>115</v>
      </c>
      <c r="D38" s="19">
        <v>14813.61</v>
      </c>
      <c r="E38" s="19">
        <v>22706.16</v>
      </c>
      <c r="F38" s="19">
        <v>73086.58</v>
      </c>
      <c r="G38" s="19">
        <v>10199.57</v>
      </c>
      <c r="H38" s="19">
        <v>8803.2099999999991</v>
      </c>
      <c r="I38" s="19">
        <v>2041.05</v>
      </c>
      <c r="J38" s="19"/>
      <c r="K38" s="19"/>
      <c r="L38" s="19"/>
      <c r="M38" s="19">
        <v>1092.81</v>
      </c>
      <c r="N38" s="19"/>
      <c r="O38" s="19">
        <v>19400.509999999998</v>
      </c>
      <c r="P38" s="19">
        <v>690</v>
      </c>
      <c r="Q38" s="19">
        <v>19890.93</v>
      </c>
      <c r="R38" s="19">
        <v>30756.83</v>
      </c>
      <c r="S38" s="129">
        <v>16988.36</v>
      </c>
      <c r="T38" s="130">
        <f t="shared" si="3"/>
        <v>220469.62</v>
      </c>
    </row>
    <row r="39" spans="1:21" s="131" customFormat="1" x14ac:dyDescent="0.25">
      <c r="A39" s="126" t="s">
        <v>43</v>
      </c>
      <c r="B39" s="127">
        <v>44425</v>
      </c>
      <c r="C39" s="128">
        <v>0</v>
      </c>
      <c r="D39" s="19">
        <v>0</v>
      </c>
      <c r="E39" s="19">
        <v>0</v>
      </c>
      <c r="F39" s="19">
        <v>0</v>
      </c>
      <c r="G39" s="19">
        <v>0</v>
      </c>
      <c r="H39" s="19">
        <v>0</v>
      </c>
      <c r="I39" s="19">
        <v>0</v>
      </c>
      <c r="J39" s="19">
        <v>0</v>
      </c>
      <c r="K39" s="19">
        <v>0</v>
      </c>
      <c r="L39" s="19">
        <v>0</v>
      </c>
      <c r="M39" s="19">
        <v>0</v>
      </c>
      <c r="N39" s="19">
        <v>0</v>
      </c>
      <c r="O39" s="19">
        <v>0</v>
      </c>
      <c r="P39" s="19">
        <v>0</v>
      </c>
      <c r="Q39" s="19">
        <v>0</v>
      </c>
      <c r="R39" s="19">
        <v>0</v>
      </c>
      <c r="S39" s="129">
        <v>0</v>
      </c>
      <c r="T39" s="130">
        <f t="shared" si="3"/>
        <v>0</v>
      </c>
      <c r="U39" s="129"/>
    </row>
    <row r="40" spans="1:21" s="131" customFormat="1" x14ac:dyDescent="0.25">
      <c r="A40" s="126" t="s">
        <v>44</v>
      </c>
      <c r="B40" s="127">
        <v>44391</v>
      </c>
      <c r="C40" s="128">
        <v>95</v>
      </c>
      <c r="D40" s="19">
        <v>3257.79</v>
      </c>
      <c r="E40" s="19">
        <v>2739.61</v>
      </c>
      <c r="F40" s="19">
        <v>17837.63</v>
      </c>
      <c r="G40" s="19">
        <v>2990.76</v>
      </c>
      <c r="H40" s="19">
        <v>1468.7</v>
      </c>
      <c r="I40" s="19">
        <v>1473.49</v>
      </c>
      <c r="J40" s="19"/>
      <c r="K40" s="19">
        <v>419.16</v>
      </c>
      <c r="L40" s="19">
        <v>2633.36</v>
      </c>
      <c r="M40" s="19">
        <v>240.35</v>
      </c>
      <c r="N40" s="19"/>
      <c r="O40" s="19">
        <v>4394.29</v>
      </c>
      <c r="P40" s="19"/>
      <c r="Q40" s="19"/>
      <c r="R40" s="19">
        <v>6572.57</v>
      </c>
      <c r="S40" s="129">
        <v>3599.8</v>
      </c>
      <c r="T40" s="130">
        <f t="shared" si="3"/>
        <v>47627.51</v>
      </c>
    </row>
    <row r="41" spans="1:21" s="131" customFormat="1" x14ac:dyDescent="0.25">
      <c r="A41" s="126" t="s">
        <v>45</v>
      </c>
      <c r="B41" s="127">
        <v>44419</v>
      </c>
      <c r="C41" s="128">
        <v>44</v>
      </c>
      <c r="D41" s="19">
        <v>2818.13</v>
      </c>
      <c r="E41" s="19">
        <v>1847.97</v>
      </c>
      <c r="F41" s="19">
        <v>15407.45</v>
      </c>
      <c r="G41" s="19">
        <v>1547.57</v>
      </c>
      <c r="H41" s="19">
        <v>923.98</v>
      </c>
      <c r="I41" s="19">
        <v>1007.16</v>
      </c>
      <c r="J41" s="19">
        <v>0</v>
      </c>
      <c r="K41" s="19">
        <v>1303.8499999999999</v>
      </c>
      <c r="L41" s="19">
        <v>2360.02</v>
      </c>
      <c r="M41" s="19">
        <v>191.74</v>
      </c>
      <c r="N41" s="19">
        <v>0</v>
      </c>
      <c r="O41" s="19">
        <v>3909.57</v>
      </c>
      <c r="P41" s="19">
        <v>528</v>
      </c>
      <c r="Q41" s="19">
        <v>4443.6000000000004</v>
      </c>
      <c r="R41" s="19">
        <v>6458.29</v>
      </c>
      <c r="S41" s="129">
        <v>3845.15</v>
      </c>
      <c r="T41" s="130">
        <f t="shared" si="3"/>
        <v>46592.480000000003</v>
      </c>
    </row>
    <row r="42" spans="1:21" s="131" customFormat="1" x14ac:dyDescent="0.25">
      <c r="A42" s="126" t="s">
        <v>46</v>
      </c>
      <c r="B42" s="127">
        <v>44410</v>
      </c>
      <c r="C42" s="128">
        <v>56</v>
      </c>
      <c r="D42" s="19">
        <v>5515.95</v>
      </c>
      <c r="E42" s="19">
        <v>5696.83</v>
      </c>
      <c r="F42" s="19">
        <v>28603.08</v>
      </c>
      <c r="G42" s="19">
        <v>4566.57</v>
      </c>
      <c r="H42" s="19">
        <v>1266</v>
      </c>
      <c r="I42" s="19">
        <v>3305.51</v>
      </c>
      <c r="J42" s="19"/>
      <c r="K42" s="19">
        <v>1350</v>
      </c>
      <c r="L42" s="19">
        <v>723.4</v>
      </c>
      <c r="M42" s="19">
        <v>452.13</v>
      </c>
      <c r="N42" s="19">
        <v>10.32</v>
      </c>
      <c r="O42" s="19">
        <v>7520.87</v>
      </c>
      <c r="P42" s="19">
        <v>392</v>
      </c>
      <c r="Q42" s="19">
        <v>8357.2099999999991</v>
      </c>
      <c r="R42" s="19">
        <v>12081.4</v>
      </c>
      <c r="S42" s="129">
        <v>6824.74</v>
      </c>
      <c r="T42" s="130">
        <f t="shared" si="3"/>
        <v>86666.01</v>
      </c>
    </row>
    <row r="43" spans="1:21" s="131" customFormat="1" x14ac:dyDescent="0.25">
      <c r="A43" s="126" t="s">
        <v>47</v>
      </c>
      <c r="B43" s="127">
        <v>44418</v>
      </c>
      <c r="C43" s="128">
        <v>73</v>
      </c>
      <c r="D43" s="19">
        <v>4736.71</v>
      </c>
      <c r="E43" s="19">
        <v>3843.76</v>
      </c>
      <c r="F43" s="19">
        <v>14976.9</v>
      </c>
      <c r="G43" s="19">
        <v>2135.44</v>
      </c>
      <c r="H43" s="19">
        <v>1358.94</v>
      </c>
      <c r="I43" s="19">
        <v>1523.9</v>
      </c>
      <c r="J43" s="19"/>
      <c r="K43" s="19">
        <v>1964.7</v>
      </c>
      <c r="L43" s="19"/>
      <c r="M43" s="19">
        <v>950.79</v>
      </c>
      <c r="N43" s="19"/>
      <c r="O43" s="19">
        <v>4576.0200000000004</v>
      </c>
      <c r="P43" s="19">
        <v>511</v>
      </c>
      <c r="Q43" s="19">
        <v>5120.53</v>
      </c>
      <c r="R43" s="19">
        <v>7509.11</v>
      </c>
      <c r="S43" s="129">
        <v>4776.53</v>
      </c>
      <c r="T43" s="130">
        <f>SUM(C43:S43)</f>
        <v>54057.33</v>
      </c>
    </row>
    <row r="44" spans="1:21" s="131" customFormat="1" x14ac:dyDescent="0.25">
      <c r="A44" s="126" t="s">
        <v>48</v>
      </c>
      <c r="B44" s="127">
        <v>44431</v>
      </c>
      <c r="C44" s="128">
        <v>49</v>
      </c>
      <c r="D44" s="19">
        <v>3301.8</v>
      </c>
      <c r="E44" s="19">
        <v>1813.3</v>
      </c>
      <c r="F44" s="19">
        <v>14235.66</v>
      </c>
      <c r="G44" s="19">
        <v>2598.13</v>
      </c>
      <c r="H44" s="19">
        <v>703.65</v>
      </c>
      <c r="I44" s="19">
        <v>1434.42</v>
      </c>
      <c r="J44" s="19">
        <v>1190.83</v>
      </c>
      <c r="K44" s="19">
        <v>1760</v>
      </c>
      <c r="L44" s="19"/>
      <c r="M44" s="19">
        <v>232.71</v>
      </c>
      <c r="N44" s="19">
        <v>0</v>
      </c>
      <c r="O44" s="19">
        <v>3959.73</v>
      </c>
      <c r="P44" s="19">
        <v>196</v>
      </c>
      <c r="Q44" s="19">
        <v>4240.18</v>
      </c>
      <c r="R44" s="19">
        <v>6392.11</v>
      </c>
      <c r="S44" s="129">
        <v>3886.06</v>
      </c>
      <c r="T44" s="130">
        <f>SUM(D44:S44)</f>
        <v>45944.58</v>
      </c>
    </row>
    <row r="45" spans="1:21" s="131" customFormat="1" x14ac:dyDescent="0.25">
      <c r="A45" s="126" t="s">
        <v>49</v>
      </c>
      <c r="B45" s="127">
        <v>44462</v>
      </c>
      <c r="C45" s="128"/>
      <c r="D45" s="19"/>
      <c r="E45" s="19"/>
      <c r="F45" s="19"/>
      <c r="G45" s="19"/>
      <c r="H45" s="19"/>
      <c r="I45" s="19"/>
      <c r="J45" s="19"/>
      <c r="K45" s="19"/>
      <c r="L45" s="19"/>
      <c r="M45" s="19"/>
      <c r="N45" s="19"/>
      <c r="O45" s="19"/>
      <c r="P45" s="19"/>
      <c r="Q45" s="19"/>
      <c r="R45" s="19"/>
      <c r="S45" s="129"/>
      <c r="T45" s="130"/>
      <c r="U45" s="131" t="s">
        <v>167</v>
      </c>
    </row>
    <row r="46" spans="1:21" s="131" customFormat="1" x14ac:dyDescent="0.25">
      <c r="A46" s="126" t="s">
        <v>50</v>
      </c>
      <c r="B46" s="127">
        <v>44428</v>
      </c>
      <c r="C46" s="128">
        <v>122</v>
      </c>
      <c r="D46" s="19">
        <v>11973.94</v>
      </c>
      <c r="E46" s="19">
        <v>31407.22</v>
      </c>
      <c r="F46" s="19">
        <v>83027.92</v>
      </c>
      <c r="G46" s="19">
        <v>8637</v>
      </c>
      <c r="H46" s="19">
        <v>7851.8</v>
      </c>
      <c r="I46" s="19">
        <v>2210.31</v>
      </c>
      <c r="J46" s="19"/>
      <c r="K46" s="19">
        <v>3399.51</v>
      </c>
      <c r="L46" s="19">
        <v>1383.79</v>
      </c>
      <c r="M46" s="19">
        <v>15.54</v>
      </c>
      <c r="N46" s="19">
        <v>6722.41</v>
      </c>
      <c r="O46" s="19">
        <v>22667</v>
      </c>
      <c r="P46" s="19">
        <v>2562</v>
      </c>
      <c r="Q46" s="19">
        <v>25410.84</v>
      </c>
      <c r="R46" s="19">
        <v>36651.99</v>
      </c>
      <c r="S46" s="129">
        <v>20034.05</v>
      </c>
      <c r="T46" s="130">
        <f>SUM(D46:S46)</f>
        <v>263955.32</v>
      </c>
    </row>
    <row r="47" spans="1:21" s="131" customFormat="1" x14ac:dyDescent="0.25">
      <c r="A47" s="126" t="s">
        <v>51</v>
      </c>
      <c r="B47" s="135">
        <v>44461</v>
      </c>
      <c r="C47" s="128">
        <v>134</v>
      </c>
      <c r="D47" s="19">
        <v>666.61</v>
      </c>
      <c r="E47" s="19">
        <v>229.49</v>
      </c>
      <c r="F47" s="19">
        <v>3764.7</v>
      </c>
      <c r="G47" s="19">
        <v>628.37</v>
      </c>
      <c r="H47" s="19">
        <v>232.22</v>
      </c>
      <c r="I47" s="19">
        <v>0</v>
      </c>
      <c r="J47" s="19">
        <v>0</v>
      </c>
      <c r="K47" s="19">
        <v>0</v>
      </c>
      <c r="L47" s="19">
        <v>0.45</v>
      </c>
      <c r="M47" s="19">
        <v>0</v>
      </c>
      <c r="N47" s="19">
        <v>0</v>
      </c>
      <c r="O47" s="19">
        <v>751.67</v>
      </c>
      <c r="P47" s="19">
        <v>961.72</v>
      </c>
      <c r="Q47" s="19">
        <v>91.17</v>
      </c>
      <c r="R47" s="19">
        <v>1296.72</v>
      </c>
      <c r="S47" s="129">
        <v>858.35</v>
      </c>
      <c r="T47" s="130">
        <f>SUM(D47:S47)</f>
        <v>9481.4700000000012</v>
      </c>
    </row>
    <row r="48" spans="1:21" s="131" customFormat="1" x14ac:dyDescent="0.25">
      <c r="A48" s="126" t="s">
        <v>52</v>
      </c>
      <c r="B48" s="127">
        <v>44431</v>
      </c>
      <c r="C48" s="128">
        <v>244</v>
      </c>
      <c r="D48" s="19">
        <v>22310.48</v>
      </c>
      <c r="E48" s="19">
        <v>22952.97</v>
      </c>
      <c r="F48" s="19">
        <v>122350.03</v>
      </c>
      <c r="G48" s="19">
        <v>0</v>
      </c>
      <c r="H48" s="19">
        <v>4023.22</v>
      </c>
      <c r="I48" s="19">
        <v>3178.39</v>
      </c>
      <c r="J48" s="19">
        <v>0</v>
      </c>
      <c r="K48" s="19">
        <v>3990.84</v>
      </c>
      <c r="L48" s="19">
        <v>8758.51</v>
      </c>
      <c r="M48" s="19"/>
      <c r="N48" s="19"/>
      <c r="O48" s="19">
        <v>22010.59</v>
      </c>
      <c r="P48" s="19">
        <v>3185</v>
      </c>
      <c r="Q48" s="19"/>
      <c r="R48" s="19">
        <v>38002.93</v>
      </c>
      <c r="S48" s="129">
        <v>22431.51</v>
      </c>
      <c r="T48" s="130">
        <f>SUM(D48:S48)</f>
        <v>273194.46999999997</v>
      </c>
    </row>
    <row r="49" spans="1:20" s="131" customFormat="1" x14ac:dyDescent="0.25">
      <c r="A49" s="126" t="s">
        <v>53</v>
      </c>
      <c r="B49" s="127">
        <v>44399</v>
      </c>
      <c r="C49" s="128">
        <v>126</v>
      </c>
      <c r="D49" s="19">
        <v>11286.13</v>
      </c>
      <c r="E49" s="19">
        <v>38748.28</v>
      </c>
      <c r="F49" s="19">
        <v>38192.71</v>
      </c>
      <c r="G49" s="19">
        <v>9250.9699999999993</v>
      </c>
      <c r="H49" s="19">
        <v>5088.16</v>
      </c>
      <c r="I49" s="19">
        <v>9250.9699999999993</v>
      </c>
      <c r="J49" s="19"/>
      <c r="K49" s="19">
        <v>356.82</v>
      </c>
      <c r="L49" s="19">
        <v>7512.69</v>
      </c>
      <c r="M49" s="19">
        <v>1572.69</v>
      </c>
      <c r="N49" s="19"/>
      <c r="O49" s="19"/>
      <c r="P49" s="19"/>
      <c r="Q49" s="19"/>
      <c r="R49" s="19"/>
      <c r="S49" s="129"/>
      <c r="T49" s="130">
        <f>SUM(D49:S49)</f>
        <v>121259.42000000001</v>
      </c>
    </row>
    <row r="50" spans="1:20" s="131" customFormat="1" x14ac:dyDescent="0.25">
      <c r="A50" s="126" t="s">
        <v>54</v>
      </c>
      <c r="B50" s="127">
        <v>44426</v>
      </c>
      <c r="C50" s="128">
        <v>88</v>
      </c>
      <c r="D50" s="19"/>
      <c r="E50" s="19"/>
      <c r="F50" s="19"/>
      <c r="G50" s="19"/>
      <c r="H50" s="19"/>
      <c r="I50" s="19"/>
      <c r="J50" s="19"/>
      <c r="K50" s="19"/>
      <c r="L50" s="19"/>
      <c r="M50" s="19"/>
      <c r="N50" s="19"/>
      <c r="O50" s="19"/>
      <c r="P50" s="19"/>
      <c r="Q50" s="19"/>
      <c r="R50" s="19"/>
      <c r="S50" s="129"/>
      <c r="T50" s="130"/>
    </row>
    <row r="51" spans="1:20" s="131" customFormat="1" x14ac:dyDescent="0.25">
      <c r="A51" s="126" t="s">
        <v>55</v>
      </c>
      <c r="B51" s="127">
        <v>44420</v>
      </c>
      <c r="C51" s="128">
        <v>43</v>
      </c>
      <c r="D51" s="19">
        <v>1875.26</v>
      </c>
      <c r="E51" s="19">
        <v>1583.26</v>
      </c>
      <c r="F51" s="19">
        <v>10710.49</v>
      </c>
      <c r="G51" s="19">
        <v>1460.25</v>
      </c>
      <c r="H51" s="19">
        <v>0</v>
      </c>
      <c r="I51" s="19">
        <v>0</v>
      </c>
      <c r="J51" s="19">
        <v>0</v>
      </c>
      <c r="K51" s="19">
        <v>1050</v>
      </c>
      <c r="L51" s="19">
        <v>7.28</v>
      </c>
      <c r="M51" s="19"/>
      <c r="N51" s="19">
        <v>1152.8399999999999</v>
      </c>
      <c r="O51" s="19">
        <v>2595.38</v>
      </c>
      <c r="P51" s="19">
        <v>440</v>
      </c>
      <c r="Q51" s="19">
        <v>2867.64</v>
      </c>
      <c r="R51" s="19">
        <v>4090.09</v>
      </c>
      <c r="S51" s="129">
        <v>2705.08</v>
      </c>
      <c r="T51" s="130">
        <f>SUM(D51:S51)</f>
        <v>30537.57</v>
      </c>
    </row>
    <row r="52" spans="1:20" s="131" customFormat="1" x14ac:dyDescent="0.25">
      <c r="A52" s="126" t="s">
        <v>163</v>
      </c>
      <c r="B52" s="127">
        <v>44434</v>
      </c>
      <c r="C52" s="128">
        <v>55</v>
      </c>
      <c r="D52" s="19">
        <v>4025.54</v>
      </c>
      <c r="E52" s="19">
        <v>4224.6099999999997</v>
      </c>
      <c r="F52" s="19">
        <v>21117.68</v>
      </c>
      <c r="G52" s="19">
        <v>3662.61</v>
      </c>
      <c r="H52" s="19">
        <v>1649.82</v>
      </c>
      <c r="I52" s="19">
        <v>1018.66</v>
      </c>
      <c r="J52" s="19">
        <v>0</v>
      </c>
      <c r="K52" s="19">
        <v>1375.08</v>
      </c>
      <c r="L52" s="19">
        <v>22.9</v>
      </c>
      <c r="M52" s="19">
        <v>0</v>
      </c>
      <c r="N52" s="19">
        <v>0</v>
      </c>
      <c r="O52" s="19">
        <v>5267.54</v>
      </c>
      <c r="P52" s="19">
        <v>110</v>
      </c>
      <c r="Q52" s="19">
        <v>6023.68</v>
      </c>
      <c r="R52" s="19">
        <v>8745.98</v>
      </c>
      <c r="S52" s="129">
        <v>5143.72</v>
      </c>
      <c r="T52" s="130">
        <f>SUM(D52:S52)</f>
        <v>62387.820000000007</v>
      </c>
    </row>
    <row r="53" spans="1:20" s="131" customFormat="1" x14ac:dyDescent="0.25">
      <c r="A53" s="126" t="s">
        <v>162</v>
      </c>
      <c r="B53" s="127">
        <v>44434</v>
      </c>
      <c r="C53" s="128">
        <v>16</v>
      </c>
      <c r="D53" s="19">
        <v>1928.41</v>
      </c>
      <c r="E53" s="19">
        <v>2023.24</v>
      </c>
      <c r="F53" s="19">
        <v>10125.129999999999</v>
      </c>
      <c r="G53" s="19">
        <v>1754.35</v>
      </c>
      <c r="H53" s="19">
        <v>789.83</v>
      </c>
      <c r="I53" s="19">
        <v>516.64</v>
      </c>
      <c r="J53" s="19">
        <v>0</v>
      </c>
      <c r="K53" s="19">
        <v>385</v>
      </c>
      <c r="L53" s="19">
        <v>0</v>
      </c>
      <c r="M53" s="19">
        <v>0</v>
      </c>
      <c r="N53" s="19">
        <v>0</v>
      </c>
      <c r="O53" s="19">
        <v>2484.67</v>
      </c>
      <c r="P53" s="19">
        <v>47</v>
      </c>
      <c r="Q53" s="19">
        <v>2850.34</v>
      </c>
      <c r="R53" s="19">
        <v>4114.5600000000004</v>
      </c>
      <c r="S53" s="129">
        <v>2351.2800000000002</v>
      </c>
      <c r="T53" s="130">
        <f>SUM(D53:S53)</f>
        <v>29370.449999999997</v>
      </c>
    </row>
    <row r="54" spans="1:20" s="131" customFormat="1" x14ac:dyDescent="0.25">
      <c r="A54" s="126" t="s">
        <v>57</v>
      </c>
      <c r="B54" s="127">
        <v>44405</v>
      </c>
      <c r="C54" s="128">
        <v>20</v>
      </c>
      <c r="D54" s="19">
        <v>1623.33</v>
      </c>
      <c r="E54" s="19">
        <v>1610.04</v>
      </c>
      <c r="F54" s="19">
        <v>9980.41</v>
      </c>
      <c r="G54" s="19">
        <v>13439.92</v>
      </c>
      <c r="H54" s="19">
        <v>118.42</v>
      </c>
      <c r="I54" s="19">
        <v>601.32000000000005</v>
      </c>
      <c r="J54" s="19">
        <v>0</v>
      </c>
      <c r="K54" s="19">
        <v>490</v>
      </c>
      <c r="L54" s="19">
        <v>126.65</v>
      </c>
      <c r="M54" s="19">
        <v>118.42</v>
      </c>
      <c r="N54" s="19">
        <v>798.36</v>
      </c>
      <c r="O54" s="19">
        <v>2507.9</v>
      </c>
      <c r="P54" s="19">
        <v>220</v>
      </c>
      <c r="Q54" s="19">
        <v>2580.64</v>
      </c>
      <c r="R54" s="19">
        <v>4001.07</v>
      </c>
      <c r="S54" s="129">
        <v>2280.5300000000002</v>
      </c>
      <c r="T54" s="130">
        <f>SUM(D54:S54)</f>
        <v>40497.009999999995</v>
      </c>
    </row>
    <row r="55" spans="1:20" s="131" customFormat="1" x14ac:dyDescent="0.25">
      <c r="A55" s="126" t="s">
        <v>58</v>
      </c>
      <c r="B55" s="127">
        <v>44417</v>
      </c>
      <c r="C55" s="128">
        <v>0</v>
      </c>
      <c r="D55" s="19">
        <v>0</v>
      </c>
      <c r="E55" s="19">
        <v>0</v>
      </c>
      <c r="F55" s="19">
        <v>0</v>
      </c>
      <c r="G55" s="19">
        <v>0</v>
      </c>
      <c r="H55" s="19">
        <v>0</v>
      </c>
      <c r="I55" s="19">
        <v>0</v>
      </c>
      <c r="J55" s="19">
        <v>0</v>
      </c>
      <c r="K55" s="19">
        <v>0</v>
      </c>
      <c r="L55" s="19">
        <v>0</v>
      </c>
      <c r="M55" s="19">
        <v>0</v>
      </c>
      <c r="N55" s="19">
        <v>0</v>
      </c>
      <c r="O55" s="19">
        <v>0</v>
      </c>
      <c r="P55" s="19">
        <v>0</v>
      </c>
      <c r="Q55" s="19">
        <v>0</v>
      </c>
      <c r="R55" s="19">
        <v>0</v>
      </c>
      <c r="S55" s="129">
        <v>0</v>
      </c>
      <c r="T55" s="130">
        <v>0</v>
      </c>
    </row>
    <row r="56" spans="1:20" s="131" customFormat="1" x14ac:dyDescent="0.25">
      <c r="A56" s="126" t="s">
        <v>59</v>
      </c>
      <c r="B56" s="127">
        <v>44482</v>
      </c>
      <c r="C56" s="128">
        <v>99</v>
      </c>
      <c r="D56" s="19">
        <v>11207.31</v>
      </c>
      <c r="E56" s="19">
        <v>13320.39</v>
      </c>
      <c r="F56" s="19">
        <v>62887.48</v>
      </c>
      <c r="G56" s="19">
        <v>0</v>
      </c>
      <c r="H56" s="19">
        <v>3582.74</v>
      </c>
      <c r="I56" s="19">
        <v>2400.4699999999998</v>
      </c>
      <c r="J56" s="19"/>
      <c r="K56" s="19">
        <v>2317.46</v>
      </c>
      <c r="L56" s="19"/>
      <c r="M56" s="19"/>
      <c r="N56" s="19"/>
      <c r="O56" s="19">
        <v>11280.55</v>
      </c>
      <c r="P56" s="19">
        <v>1881</v>
      </c>
      <c r="Q56" s="19">
        <v>95715.86</v>
      </c>
      <c r="R56" s="19">
        <v>19367.66</v>
      </c>
      <c r="S56" s="129">
        <v>11069.93</v>
      </c>
      <c r="T56" s="130">
        <f>SUM(D56:S56)</f>
        <v>235030.85</v>
      </c>
    </row>
    <row r="57" spans="1:20" s="131" customFormat="1" x14ac:dyDescent="0.25">
      <c r="A57" s="126" t="s">
        <v>60</v>
      </c>
      <c r="B57" s="127">
        <v>44410</v>
      </c>
      <c r="C57" s="128">
        <v>7</v>
      </c>
      <c r="D57" s="19">
        <v>159.21</v>
      </c>
      <c r="E57" s="19">
        <v>88.94</v>
      </c>
      <c r="F57" s="19">
        <v>805.88</v>
      </c>
      <c r="G57" s="19">
        <v>172.96</v>
      </c>
      <c r="H57" s="19">
        <v>97.88</v>
      </c>
      <c r="I57" s="19">
        <v>113.33</v>
      </c>
      <c r="J57" s="19"/>
      <c r="K57" s="19">
        <v>0.15</v>
      </c>
      <c r="L57" s="19"/>
      <c r="M57" s="19">
        <v>35.229999999999997</v>
      </c>
      <c r="N57" s="19">
        <v>86.33</v>
      </c>
      <c r="O57" s="19">
        <v>242.31</v>
      </c>
      <c r="P57" s="19">
        <v>35</v>
      </c>
      <c r="Q57" s="19">
        <v>280.02999999999997</v>
      </c>
      <c r="R57" s="19">
        <v>382.19</v>
      </c>
      <c r="S57" s="129">
        <v>310.08999999999997</v>
      </c>
      <c r="T57" s="130">
        <f>SUM(D57:S57)</f>
        <v>2809.53</v>
      </c>
    </row>
    <row r="58" spans="1:20" s="131" customFormat="1" x14ac:dyDescent="0.25">
      <c r="A58" s="126" t="s">
        <v>61</v>
      </c>
      <c r="B58" s="127">
        <v>44393</v>
      </c>
      <c r="C58" s="128">
        <v>876</v>
      </c>
      <c r="D58" s="18">
        <v>165203.4</v>
      </c>
      <c r="E58" s="19">
        <v>176036.71</v>
      </c>
      <c r="F58" s="18">
        <v>1022365.41</v>
      </c>
      <c r="G58" s="19">
        <v>0</v>
      </c>
      <c r="H58" s="19">
        <v>0</v>
      </c>
      <c r="I58" s="19">
        <v>140703.31</v>
      </c>
      <c r="J58" s="19">
        <v>0</v>
      </c>
      <c r="K58" s="20">
        <v>147331.9</v>
      </c>
      <c r="L58" s="19">
        <v>0</v>
      </c>
      <c r="M58" s="19">
        <v>0</v>
      </c>
      <c r="N58" s="19">
        <v>0</v>
      </c>
      <c r="O58" s="19">
        <v>222853.59</v>
      </c>
      <c r="P58" s="19">
        <v>1752</v>
      </c>
      <c r="Q58" s="19">
        <v>246750.6</v>
      </c>
      <c r="R58" s="19">
        <v>381430.22</v>
      </c>
      <c r="S58" s="129">
        <v>229259.16</v>
      </c>
      <c r="T58" s="130">
        <f>SUM(D58:S58)</f>
        <v>2733686.3</v>
      </c>
    </row>
    <row r="59" spans="1:20" s="131" customFormat="1" hidden="1" x14ac:dyDescent="0.25">
      <c r="A59" s="126" t="s">
        <v>158</v>
      </c>
      <c r="B59" s="127"/>
      <c r="C59" s="128"/>
      <c r="D59" s="18"/>
      <c r="E59" s="19"/>
      <c r="F59" s="18"/>
      <c r="G59" s="19"/>
      <c r="H59" s="19"/>
      <c r="I59" s="19"/>
      <c r="J59" s="19"/>
      <c r="K59" s="20"/>
      <c r="L59" s="19"/>
      <c r="M59" s="19"/>
      <c r="N59" s="19"/>
      <c r="O59" s="19"/>
      <c r="P59" s="19"/>
      <c r="Q59" s="19"/>
      <c r="R59" s="19"/>
      <c r="S59" s="129"/>
      <c r="T59" s="130"/>
    </row>
    <row r="60" spans="1:20" s="131" customFormat="1" x14ac:dyDescent="0.25">
      <c r="A60" s="126" t="s">
        <v>62</v>
      </c>
      <c r="B60" s="127">
        <v>44435</v>
      </c>
      <c r="C60" s="128">
        <v>41</v>
      </c>
      <c r="D60" s="19">
        <v>9575.75</v>
      </c>
      <c r="E60" s="19">
        <v>6907.1</v>
      </c>
      <c r="F60" s="19">
        <v>54157.919999999998</v>
      </c>
      <c r="G60" s="19">
        <v>9497.27</v>
      </c>
      <c r="H60" s="19">
        <v>2354.6999999999998</v>
      </c>
      <c r="I60" s="19">
        <v>1310.83</v>
      </c>
      <c r="J60" s="19">
        <v>0</v>
      </c>
      <c r="K60" s="19">
        <v>2293.08</v>
      </c>
      <c r="L60" s="19">
        <v>0</v>
      </c>
      <c r="M60" s="19">
        <v>0</v>
      </c>
      <c r="N60" s="19">
        <v>0</v>
      </c>
      <c r="O60" s="19">
        <v>11775.36</v>
      </c>
      <c r="P60" s="19">
        <v>656</v>
      </c>
      <c r="Q60" s="19">
        <v>13933.78</v>
      </c>
      <c r="R60" s="19">
        <v>20088.060000000001</v>
      </c>
      <c r="S60" s="129">
        <v>10618.04</v>
      </c>
      <c r="T60" s="130">
        <f>SUM(D60:S60)</f>
        <v>143167.89000000001</v>
      </c>
    </row>
    <row r="61" spans="1:20" s="131" customFormat="1" x14ac:dyDescent="0.25">
      <c r="A61" s="126" t="s">
        <v>63</v>
      </c>
      <c r="B61" s="127">
        <v>44483</v>
      </c>
      <c r="C61" s="128">
        <v>650</v>
      </c>
      <c r="D61" s="19">
        <v>16536.150000000001</v>
      </c>
      <c r="E61" s="19">
        <v>12571.97</v>
      </c>
      <c r="F61" s="19">
        <v>77608.62</v>
      </c>
      <c r="G61" s="19">
        <v>11417.99</v>
      </c>
      <c r="H61" s="19">
        <v>7985.92</v>
      </c>
      <c r="I61" s="19">
        <v>5300.63</v>
      </c>
      <c r="J61" s="19"/>
      <c r="K61" s="19">
        <v>3285.63</v>
      </c>
      <c r="L61" s="19"/>
      <c r="M61" s="19">
        <v>1096.25</v>
      </c>
      <c r="N61" s="19"/>
      <c r="O61" s="19">
        <v>16547.66</v>
      </c>
      <c r="P61" s="19">
        <v>3697.98</v>
      </c>
      <c r="Q61" s="19">
        <v>24789.83</v>
      </c>
      <c r="R61" s="19">
        <v>25923.91</v>
      </c>
      <c r="S61" s="129">
        <v>21210.720000000001</v>
      </c>
      <c r="T61" s="130">
        <f>SUM(D61:S61)</f>
        <v>227973.26</v>
      </c>
    </row>
    <row r="62" spans="1:20" s="131" customFormat="1" x14ac:dyDescent="0.25">
      <c r="A62" s="126" t="s">
        <v>166</v>
      </c>
      <c r="B62" s="127">
        <v>44483</v>
      </c>
      <c r="C62" s="128">
        <v>104</v>
      </c>
      <c r="D62" s="19">
        <v>4723.71</v>
      </c>
      <c r="E62" s="19">
        <v>3639.63</v>
      </c>
      <c r="F62" s="19">
        <v>23083.8</v>
      </c>
      <c r="G62" s="19">
        <v>3291.2</v>
      </c>
      <c r="H62" s="19">
        <v>2323.16</v>
      </c>
      <c r="I62" s="19">
        <v>1560.75</v>
      </c>
      <c r="J62" s="19"/>
      <c r="K62" s="19">
        <v>946.84</v>
      </c>
      <c r="L62" s="19"/>
      <c r="M62" s="19">
        <v>322.14999999999998</v>
      </c>
      <c r="N62" s="19"/>
      <c r="O62" s="19">
        <v>6156.63</v>
      </c>
      <c r="P62" s="19">
        <v>728</v>
      </c>
      <c r="Q62" s="19">
        <v>7396.51</v>
      </c>
      <c r="R62" s="19">
        <v>9457.56</v>
      </c>
      <c r="S62" s="129">
        <v>6288.79</v>
      </c>
      <c r="T62" s="130">
        <f>SUM(D62:S62)</f>
        <v>69918.73</v>
      </c>
    </row>
    <row r="63" spans="1:20" s="131" customFormat="1" x14ac:dyDescent="0.25">
      <c r="A63" s="126" t="s">
        <v>64</v>
      </c>
      <c r="B63" s="127">
        <v>44404</v>
      </c>
      <c r="C63" s="128">
        <v>188</v>
      </c>
      <c r="D63" s="19">
        <v>22538.61</v>
      </c>
      <c r="E63" s="19">
        <v>30126.27</v>
      </c>
      <c r="F63" s="19">
        <v>154455.37</v>
      </c>
      <c r="G63" s="19">
        <v>20876.14</v>
      </c>
      <c r="H63" s="19">
        <v>4674.3100000000004</v>
      </c>
      <c r="I63" s="19">
        <v>6887.33</v>
      </c>
      <c r="J63" s="19"/>
      <c r="K63" s="19">
        <v>12882.74</v>
      </c>
      <c r="L63" s="19">
        <v>184.07</v>
      </c>
      <c r="M63" s="19">
        <v>396.56</v>
      </c>
      <c r="N63" s="19"/>
      <c r="O63" s="19">
        <v>30101.4</v>
      </c>
      <c r="P63" s="19"/>
      <c r="Q63" s="19"/>
      <c r="R63" s="19">
        <v>50829.94</v>
      </c>
      <c r="S63" s="129">
        <v>33686.949999999997</v>
      </c>
      <c r="T63" s="130">
        <f>SUM(D63:S63)</f>
        <v>367639.69</v>
      </c>
    </row>
    <row r="64" spans="1:20" s="131" customFormat="1" x14ac:dyDescent="0.25">
      <c r="A64" s="126" t="s">
        <v>65</v>
      </c>
      <c r="B64" s="127">
        <v>44454</v>
      </c>
      <c r="C64" s="128">
        <v>54</v>
      </c>
      <c r="D64" s="19">
        <v>496.02</v>
      </c>
      <c r="E64" s="19">
        <v>699.81</v>
      </c>
      <c r="F64" s="19">
        <v>2636.57</v>
      </c>
      <c r="G64" s="19">
        <v>0</v>
      </c>
      <c r="H64" s="19">
        <v>235.63</v>
      </c>
      <c r="I64" s="19">
        <v>242.93</v>
      </c>
      <c r="J64" s="19">
        <v>0</v>
      </c>
      <c r="K64" s="19">
        <v>0</v>
      </c>
      <c r="L64" s="19"/>
      <c r="M64" s="19">
        <v>70.459999999999994</v>
      </c>
      <c r="N64" s="19">
        <v>0</v>
      </c>
      <c r="O64" s="19">
        <v>679.49</v>
      </c>
      <c r="P64" s="19">
        <v>594</v>
      </c>
      <c r="Q64" s="19">
        <v>1295.53</v>
      </c>
      <c r="R64" s="19">
        <v>1232.3</v>
      </c>
      <c r="S64" s="129">
        <v>1377.7</v>
      </c>
      <c r="T64" s="130">
        <f>SUM(D64:S64)</f>
        <v>9560.44</v>
      </c>
    </row>
    <row r="65" spans="1:20" s="131" customFormat="1" x14ac:dyDescent="0.25">
      <c r="A65" s="126" t="s">
        <v>66</v>
      </c>
      <c r="B65" s="127">
        <v>44491</v>
      </c>
      <c r="C65" s="128">
        <v>111</v>
      </c>
      <c r="D65" s="19">
        <v>5886.31</v>
      </c>
      <c r="E65" s="19">
        <v>5259.07</v>
      </c>
      <c r="F65" s="19">
        <v>21789.69</v>
      </c>
      <c r="G65" s="19">
        <v>4294.1000000000004</v>
      </c>
      <c r="H65" s="19">
        <v>1929.94</v>
      </c>
      <c r="I65" s="19">
        <v>1688.67</v>
      </c>
      <c r="J65" s="19">
        <v>3377.4</v>
      </c>
      <c r="K65" s="19">
        <v>3588.78</v>
      </c>
      <c r="L65" s="19">
        <v>35.520000000000003</v>
      </c>
      <c r="M65" s="19">
        <v>1061.47</v>
      </c>
      <c r="N65" s="19">
        <v>2026.45</v>
      </c>
      <c r="O65" s="19">
        <v>7903.43</v>
      </c>
      <c r="P65" s="19">
        <v>555</v>
      </c>
      <c r="Q65" s="19">
        <v>9569.3700000000008</v>
      </c>
      <c r="R65" s="19">
        <v>12101.33</v>
      </c>
      <c r="S65" s="129">
        <v>7715.72</v>
      </c>
      <c r="T65" s="130">
        <f>SUM(C65:S65)</f>
        <v>88893.25</v>
      </c>
    </row>
    <row r="66" spans="1:20" s="131" customFormat="1" ht="14.25" customHeight="1" x14ac:dyDescent="0.25">
      <c r="A66" s="126" t="s">
        <v>67</v>
      </c>
      <c r="B66" s="127">
        <v>44438</v>
      </c>
      <c r="C66" s="128">
        <v>18</v>
      </c>
      <c r="D66" s="19">
        <v>1031.74</v>
      </c>
      <c r="E66" s="19">
        <v>1919.72</v>
      </c>
      <c r="F66" s="19">
        <v>4397.6000000000004</v>
      </c>
      <c r="G66" s="19">
        <v>515.88</v>
      </c>
      <c r="H66" s="19">
        <v>236.19</v>
      </c>
      <c r="I66" s="19">
        <v>391.33</v>
      </c>
      <c r="J66" s="19">
        <v>0</v>
      </c>
      <c r="K66" s="19">
        <v>446.76</v>
      </c>
      <c r="L66" s="19">
        <v>0</v>
      </c>
      <c r="M66" s="19">
        <v>0</v>
      </c>
      <c r="N66" s="19">
        <v>0</v>
      </c>
      <c r="O66" s="19">
        <v>1389.27</v>
      </c>
      <c r="P66" s="19">
        <v>0</v>
      </c>
      <c r="Q66" s="19">
        <v>1455.15</v>
      </c>
      <c r="R66" s="19">
        <v>2115</v>
      </c>
      <c r="S66" s="129">
        <v>1219.51</v>
      </c>
      <c r="T66" s="130">
        <f>SUM(D66:S66)</f>
        <v>15118.150000000001</v>
      </c>
    </row>
    <row r="67" spans="1:20" s="131" customFormat="1" x14ac:dyDescent="0.25">
      <c r="A67" s="126" t="s">
        <v>68</v>
      </c>
      <c r="B67" s="127">
        <v>44447</v>
      </c>
      <c r="C67" s="128">
        <v>142</v>
      </c>
      <c r="D67" s="19">
        <v>14899.61</v>
      </c>
      <c r="E67" s="19">
        <v>7083.59</v>
      </c>
      <c r="F67" s="19">
        <v>59524.81</v>
      </c>
      <c r="G67" s="19">
        <v>9770.4</v>
      </c>
      <c r="H67" s="19">
        <v>4885.2</v>
      </c>
      <c r="I67" s="19">
        <v>4661.7</v>
      </c>
      <c r="J67" s="19">
        <v>0</v>
      </c>
      <c r="K67" s="19">
        <v>422.62</v>
      </c>
      <c r="L67" s="19">
        <v>9.8800000000000008</v>
      </c>
      <c r="M67" s="19">
        <v>488.55</v>
      </c>
      <c r="N67" s="19"/>
      <c r="O67" s="19">
        <v>14463.35</v>
      </c>
      <c r="P67" s="19">
        <v>1644</v>
      </c>
      <c r="Q67" s="19">
        <v>17757.689999999999</v>
      </c>
      <c r="R67" s="19">
        <v>24174.83</v>
      </c>
      <c r="S67" s="129">
        <v>14005.44</v>
      </c>
      <c r="T67" s="130">
        <f>SUM(D67:S67)</f>
        <v>173791.66999999998</v>
      </c>
    </row>
    <row r="68" spans="1:20" s="131" customFormat="1" x14ac:dyDescent="0.25">
      <c r="A68" s="126" t="s">
        <v>69</v>
      </c>
      <c r="B68" s="127">
        <v>44489</v>
      </c>
      <c r="C68" s="128">
        <v>70</v>
      </c>
      <c r="D68" s="19">
        <v>11196.7</v>
      </c>
      <c r="E68" s="19">
        <v>15051.43</v>
      </c>
      <c r="F68" s="19">
        <v>53230.66</v>
      </c>
      <c r="G68" s="19">
        <v>13124.12</v>
      </c>
      <c r="H68" s="19">
        <v>5506.62</v>
      </c>
      <c r="I68" s="19">
        <v>6947.49</v>
      </c>
      <c r="J68" s="19">
        <v>0</v>
      </c>
      <c r="K68" s="19">
        <v>1092.99</v>
      </c>
      <c r="L68" s="19">
        <v>0</v>
      </c>
      <c r="M68" s="19">
        <v>2202.65</v>
      </c>
      <c r="N68" s="19">
        <v>0</v>
      </c>
      <c r="O68" s="19">
        <v>16240.92</v>
      </c>
      <c r="P68" s="19">
        <v>630</v>
      </c>
      <c r="Q68" s="19">
        <v>20315.310000000001</v>
      </c>
      <c r="R68" s="19">
        <v>25873.63</v>
      </c>
      <c r="S68" s="129">
        <v>13916.78</v>
      </c>
      <c r="T68" s="130">
        <f>SUM(D68:S68)</f>
        <v>185329.30000000002</v>
      </c>
    </row>
    <row r="69" spans="1:20" s="131" customFormat="1" x14ac:dyDescent="0.25">
      <c r="A69" s="126" t="s">
        <v>70</v>
      </c>
      <c r="B69" s="127">
        <v>44475</v>
      </c>
      <c r="C69" s="128">
        <v>40</v>
      </c>
      <c r="D69" s="19">
        <v>1158.25</v>
      </c>
      <c r="E69" s="19">
        <v>4010.87</v>
      </c>
      <c r="F69" s="19">
        <v>4513.34</v>
      </c>
      <c r="G69" s="19">
        <v>1462.94</v>
      </c>
      <c r="H69" s="19">
        <v>731.5</v>
      </c>
      <c r="I69" s="19">
        <v>703.95</v>
      </c>
      <c r="J69" s="19"/>
      <c r="K69" s="19"/>
      <c r="L69" s="19">
        <v>17.22</v>
      </c>
      <c r="M69" s="19">
        <v>264.82</v>
      </c>
      <c r="N69" s="19"/>
      <c r="O69" s="19">
        <v>2356.36</v>
      </c>
      <c r="P69" s="19">
        <v>390</v>
      </c>
      <c r="Q69" s="19">
        <v>3231.99</v>
      </c>
      <c r="R69" s="19">
        <v>3033.55</v>
      </c>
      <c r="S69" s="129">
        <v>2063.39</v>
      </c>
      <c r="T69" s="130">
        <f>SUM(D69:S69)</f>
        <v>23938.179999999997</v>
      </c>
    </row>
    <row r="70" spans="1:20" s="131" customFormat="1" x14ac:dyDescent="0.25">
      <c r="A70" s="126" t="s">
        <v>71</v>
      </c>
      <c r="B70" s="127">
        <v>44459</v>
      </c>
      <c r="C70" s="128">
        <v>57</v>
      </c>
      <c r="D70" s="19">
        <v>3861.85</v>
      </c>
      <c r="E70" s="19">
        <v>6934.58</v>
      </c>
      <c r="F70" s="19">
        <v>22401.59</v>
      </c>
      <c r="G70" s="19">
        <v>5602.87</v>
      </c>
      <c r="H70" s="19">
        <v>1899.26</v>
      </c>
      <c r="I70" s="19">
        <v>3581.8</v>
      </c>
      <c r="J70" s="19">
        <v>0</v>
      </c>
      <c r="K70" s="19">
        <v>107.44</v>
      </c>
      <c r="L70" s="19">
        <v>107.44</v>
      </c>
      <c r="M70" s="19">
        <v>790.82</v>
      </c>
      <c r="N70" s="19">
        <v>0</v>
      </c>
      <c r="O70" s="19">
        <v>5905.4</v>
      </c>
      <c r="P70" s="19">
        <v>0</v>
      </c>
      <c r="Q70" s="19">
        <v>0</v>
      </c>
      <c r="R70" s="19">
        <v>9065.57</v>
      </c>
      <c r="S70" s="129">
        <v>6941.84</v>
      </c>
      <c r="T70" s="130">
        <f t="shared" ref="T70:T80" si="4">SUM(D70:S70)</f>
        <v>67200.460000000021</v>
      </c>
    </row>
    <row r="71" spans="1:20" s="131" customFormat="1" x14ac:dyDescent="0.25">
      <c r="A71" s="134" t="s">
        <v>72</v>
      </c>
      <c r="B71" s="127">
        <v>44399</v>
      </c>
      <c r="C71" s="128">
        <v>2</v>
      </c>
      <c r="D71" s="19">
        <v>29.28</v>
      </c>
      <c r="E71" s="19">
        <v>54</v>
      </c>
      <c r="F71" s="19">
        <v>165.6</v>
      </c>
      <c r="G71" s="19">
        <v>29.52</v>
      </c>
      <c r="H71" s="19">
        <v>19.2</v>
      </c>
      <c r="I71" s="19">
        <v>36.24</v>
      </c>
      <c r="J71" s="19">
        <v>0</v>
      </c>
      <c r="K71" s="19">
        <v>0</v>
      </c>
      <c r="L71" s="19">
        <v>0</v>
      </c>
      <c r="M71" s="19">
        <v>7.44</v>
      </c>
      <c r="N71" s="19">
        <v>0</v>
      </c>
      <c r="O71" s="19">
        <v>51.22</v>
      </c>
      <c r="P71" s="19">
        <v>0</v>
      </c>
      <c r="Q71" s="19">
        <v>51.2</v>
      </c>
      <c r="R71" s="19">
        <v>39.25</v>
      </c>
      <c r="S71" s="129">
        <v>59.25</v>
      </c>
      <c r="T71" s="130">
        <f t="shared" si="4"/>
        <v>542.20000000000005</v>
      </c>
    </row>
    <row r="72" spans="1:20" s="131" customFormat="1" x14ac:dyDescent="0.25">
      <c r="A72" s="126" t="s">
        <v>73</v>
      </c>
      <c r="B72" s="127">
        <v>44393</v>
      </c>
      <c r="C72" s="128">
        <v>105</v>
      </c>
      <c r="D72" s="19">
        <v>1039.46</v>
      </c>
      <c r="E72" s="19">
        <v>1558.16</v>
      </c>
      <c r="F72" s="19">
        <v>4004.39</v>
      </c>
      <c r="G72" s="19">
        <v>698.65</v>
      </c>
      <c r="H72" s="19">
        <v>553.79999999999995</v>
      </c>
      <c r="I72" s="19">
        <v>536.78</v>
      </c>
      <c r="J72" s="19"/>
      <c r="K72" s="19">
        <v>401.7</v>
      </c>
      <c r="L72" s="19"/>
      <c r="M72" s="19"/>
      <c r="N72" s="19"/>
      <c r="O72" s="19">
        <v>4500.3</v>
      </c>
      <c r="P72" s="19">
        <v>212</v>
      </c>
      <c r="Q72" s="19"/>
      <c r="R72" s="19">
        <v>6698.84</v>
      </c>
      <c r="S72" s="129">
        <v>4939.4399999999996</v>
      </c>
      <c r="T72" s="130">
        <f t="shared" si="4"/>
        <v>25143.52</v>
      </c>
    </row>
    <row r="73" spans="1:20" s="131" customFormat="1" x14ac:dyDescent="0.25">
      <c r="A73" s="126" t="s">
        <v>74</v>
      </c>
      <c r="B73" s="127">
        <v>44432</v>
      </c>
      <c r="C73" s="128">
        <v>54</v>
      </c>
      <c r="D73" s="19">
        <v>3545.67</v>
      </c>
      <c r="E73" s="19"/>
      <c r="F73" s="19"/>
      <c r="G73" s="19"/>
      <c r="H73" s="19"/>
      <c r="I73" s="19"/>
      <c r="J73" s="19"/>
      <c r="K73" s="19"/>
      <c r="L73" s="19">
        <v>1680</v>
      </c>
      <c r="M73" s="19"/>
      <c r="N73" s="19"/>
      <c r="O73" s="19"/>
      <c r="P73" s="19">
        <v>2840</v>
      </c>
      <c r="Q73" s="19">
        <v>3020</v>
      </c>
      <c r="R73" s="19"/>
      <c r="S73" s="129">
        <v>3099.25</v>
      </c>
      <c r="T73" s="130">
        <f t="shared" si="4"/>
        <v>14184.92</v>
      </c>
    </row>
    <row r="74" spans="1:20" s="131" customFormat="1" x14ac:dyDescent="0.25">
      <c r="A74" s="126" t="s">
        <v>75</v>
      </c>
      <c r="B74" s="127">
        <v>44463</v>
      </c>
      <c r="C74" s="128">
        <v>16</v>
      </c>
      <c r="D74" s="19">
        <v>1147.03</v>
      </c>
      <c r="E74" s="19">
        <v>1118.83</v>
      </c>
      <c r="F74" s="19">
        <v>4240.32</v>
      </c>
      <c r="G74" s="19">
        <v>0</v>
      </c>
      <c r="H74" s="19">
        <v>282.06</v>
      </c>
      <c r="I74" s="19">
        <v>479.52</v>
      </c>
      <c r="J74" s="19">
        <v>0</v>
      </c>
      <c r="K74" s="19">
        <v>845.2</v>
      </c>
      <c r="L74" s="19">
        <v>0</v>
      </c>
      <c r="M74" s="19">
        <v>146.66999999999999</v>
      </c>
      <c r="N74" s="19">
        <v>0</v>
      </c>
      <c r="O74" s="19">
        <v>1194.52</v>
      </c>
      <c r="P74" s="19">
        <v>128</v>
      </c>
      <c r="Q74" s="19">
        <v>1442.76</v>
      </c>
      <c r="R74" s="19">
        <v>1956.46</v>
      </c>
      <c r="S74" s="129">
        <v>1210.24</v>
      </c>
      <c r="T74" s="130">
        <f t="shared" si="4"/>
        <v>14191.609999999999</v>
      </c>
    </row>
    <row r="75" spans="1:20" s="131" customFormat="1" x14ac:dyDescent="0.25">
      <c r="A75" s="126" t="s">
        <v>76</v>
      </c>
      <c r="B75" s="127">
        <v>44426</v>
      </c>
      <c r="C75" s="128">
        <v>37</v>
      </c>
      <c r="D75" s="19">
        <v>2834.75</v>
      </c>
      <c r="E75" s="19">
        <v>3020.66</v>
      </c>
      <c r="F75" s="19">
        <v>12863.46</v>
      </c>
      <c r="G75" s="19">
        <v>2137.6799999999998</v>
      </c>
      <c r="H75" s="19">
        <v>580.9</v>
      </c>
      <c r="I75" s="19">
        <v>1113.47</v>
      </c>
      <c r="J75" s="19">
        <v>0</v>
      </c>
      <c r="K75" s="19">
        <v>0</v>
      </c>
      <c r="L75" s="19">
        <v>154.28</v>
      </c>
      <c r="M75" s="19">
        <v>349.46</v>
      </c>
      <c r="N75" s="19">
        <v>0</v>
      </c>
      <c r="O75" s="19">
        <v>3330.81</v>
      </c>
      <c r="P75" s="19">
        <v>333</v>
      </c>
      <c r="Q75" s="19">
        <v>3740.05</v>
      </c>
      <c r="R75" s="19">
        <v>5432.95</v>
      </c>
      <c r="S75" s="129">
        <v>3234.46</v>
      </c>
      <c r="T75" s="130">
        <f t="shared" si="4"/>
        <v>39125.93</v>
      </c>
    </row>
    <row r="76" spans="1:20" s="131" customFormat="1" x14ac:dyDescent="0.25">
      <c r="A76" s="126" t="s">
        <v>77</v>
      </c>
      <c r="B76" s="127">
        <v>44433</v>
      </c>
      <c r="C76" s="128">
        <v>11</v>
      </c>
      <c r="D76" s="19">
        <v>1419.27</v>
      </c>
      <c r="E76" s="19">
        <v>1337.84</v>
      </c>
      <c r="F76" s="19">
        <v>5200.13</v>
      </c>
      <c r="G76" s="19">
        <v>523.52</v>
      </c>
      <c r="H76" s="19">
        <v>349</v>
      </c>
      <c r="I76" s="19">
        <v>445.81</v>
      </c>
      <c r="J76" s="19">
        <v>0</v>
      </c>
      <c r="K76" s="19">
        <v>182.24</v>
      </c>
      <c r="L76" s="19"/>
      <c r="M76" s="19">
        <v>0</v>
      </c>
      <c r="N76" s="19">
        <v>872.52</v>
      </c>
      <c r="O76" s="19">
        <v>1593.02</v>
      </c>
      <c r="P76" s="19">
        <v>114</v>
      </c>
      <c r="Q76" s="19">
        <v>1676.92</v>
      </c>
      <c r="R76" s="19">
        <v>2396.34</v>
      </c>
      <c r="S76" s="129">
        <v>1388.2</v>
      </c>
      <c r="T76" s="130">
        <f t="shared" si="4"/>
        <v>17498.810000000001</v>
      </c>
    </row>
    <row r="77" spans="1:20" s="131" customFormat="1" x14ac:dyDescent="0.25">
      <c r="A77" s="126" t="s">
        <v>78</v>
      </c>
      <c r="B77" s="127">
        <v>44420</v>
      </c>
      <c r="C77" s="128">
        <v>140</v>
      </c>
      <c r="D77" s="48">
        <v>21136.95</v>
      </c>
      <c r="E77" s="48">
        <v>22391.65</v>
      </c>
      <c r="F77" s="48">
        <v>65339.54</v>
      </c>
      <c r="G77" s="48">
        <v>10568.52</v>
      </c>
      <c r="H77" s="48">
        <v>4158.07</v>
      </c>
      <c r="I77" s="48">
        <v>7080.89</v>
      </c>
      <c r="J77" s="48">
        <v>2079.04</v>
      </c>
      <c r="K77" s="48">
        <v>7327.97</v>
      </c>
      <c r="L77" s="48"/>
      <c r="M77" s="48"/>
      <c r="N77" s="48"/>
      <c r="O77" s="48">
        <v>17042.82</v>
      </c>
      <c r="P77" s="48"/>
      <c r="Q77" s="48"/>
      <c r="R77" s="48">
        <v>27456.55</v>
      </c>
      <c r="S77" s="48">
        <v>15688.2</v>
      </c>
      <c r="T77" s="49">
        <f t="shared" si="4"/>
        <v>200270.2</v>
      </c>
    </row>
    <row r="78" spans="1:20" s="131" customFormat="1" x14ac:dyDescent="0.25">
      <c r="A78" s="126" t="s">
        <v>79</v>
      </c>
      <c r="B78" s="127">
        <v>44439</v>
      </c>
      <c r="C78" s="128">
        <v>33</v>
      </c>
      <c r="D78" s="48">
        <v>1850.74</v>
      </c>
      <c r="E78" s="48">
        <v>1334.96</v>
      </c>
      <c r="F78" s="48">
        <v>6037.66</v>
      </c>
      <c r="G78" s="48">
        <v>1077.06</v>
      </c>
      <c r="H78" s="48">
        <v>606</v>
      </c>
      <c r="I78" s="48">
        <v>529.73</v>
      </c>
      <c r="J78" s="48"/>
      <c r="K78" s="48">
        <v>1517</v>
      </c>
      <c r="L78" s="48">
        <v>6.18</v>
      </c>
      <c r="M78" s="48">
        <v>257.89999999999998</v>
      </c>
      <c r="N78" s="48">
        <v>0</v>
      </c>
      <c r="O78" s="48">
        <v>1934.67</v>
      </c>
      <c r="P78" s="48">
        <v>330</v>
      </c>
      <c r="Q78" s="48">
        <v>2145.54</v>
      </c>
      <c r="R78" s="48">
        <v>3138.69</v>
      </c>
      <c r="S78" s="48">
        <v>2031.34</v>
      </c>
      <c r="T78" s="49">
        <f t="shared" si="4"/>
        <v>22797.469999999998</v>
      </c>
    </row>
    <row r="79" spans="1:20" s="131" customFormat="1" x14ac:dyDescent="0.25">
      <c r="A79" s="126" t="s">
        <v>80</v>
      </c>
      <c r="B79" s="127">
        <v>44431</v>
      </c>
      <c r="C79" s="128">
        <v>9</v>
      </c>
      <c r="D79" s="48">
        <v>807.24</v>
      </c>
      <c r="E79" s="48">
        <v>1025</v>
      </c>
      <c r="F79" s="48">
        <v>3824.46</v>
      </c>
      <c r="G79" s="48">
        <v>251.43</v>
      </c>
      <c r="H79" s="48">
        <v>344.06</v>
      </c>
      <c r="I79" s="48">
        <v>223.11</v>
      </c>
      <c r="J79" s="48">
        <v>0</v>
      </c>
      <c r="K79" s="48">
        <v>160</v>
      </c>
      <c r="L79" s="48">
        <v>148.22</v>
      </c>
      <c r="M79" s="48">
        <v>86.02</v>
      </c>
      <c r="N79" s="48">
        <v>0</v>
      </c>
      <c r="O79" s="48">
        <v>1041.3699999999999</v>
      </c>
      <c r="P79" s="48">
        <v>162</v>
      </c>
      <c r="Q79" s="48">
        <v>1116.94</v>
      </c>
      <c r="R79" s="48">
        <v>1615.41</v>
      </c>
      <c r="S79" s="48">
        <v>933.71</v>
      </c>
      <c r="T79" s="49">
        <f t="shared" si="4"/>
        <v>11738.970000000001</v>
      </c>
    </row>
    <row r="80" spans="1:20" s="131" customFormat="1" x14ac:dyDescent="0.25">
      <c r="A80" s="126" t="s">
        <v>81</v>
      </c>
      <c r="B80" s="127">
        <v>44419</v>
      </c>
      <c r="C80" s="128">
        <v>171</v>
      </c>
      <c r="D80" s="48">
        <v>13551.25</v>
      </c>
      <c r="E80" s="48">
        <v>8886.2000000000007</v>
      </c>
      <c r="F80" s="48">
        <v>76177.58</v>
      </c>
      <c r="G80" s="48">
        <v>6331.44</v>
      </c>
      <c r="H80" s="48">
        <v>5553.79</v>
      </c>
      <c r="I80" s="48">
        <v>1968.28</v>
      </c>
      <c r="J80" s="48"/>
      <c r="K80" s="48"/>
      <c r="L80" s="48"/>
      <c r="M80" s="48">
        <v>85</v>
      </c>
      <c r="N80" s="48">
        <v>5331.73</v>
      </c>
      <c r="O80" s="48">
        <v>16159.32</v>
      </c>
      <c r="P80" s="48">
        <v>1710</v>
      </c>
      <c r="Q80" s="48">
        <v>19080.03</v>
      </c>
      <c r="R80" s="48">
        <v>27734.9</v>
      </c>
      <c r="S80" s="48">
        <v>16261.71</v>
      </c>
      <c r="T80" s="49">
        <f t="shared" si="4"/>
        <v>198831.22999999998</v>
      </c>
    </row>
    <row r="81" spans="1:20" s="131" customFormat="1" x14ac:dyDescent="0.25">
      <c r="A81" s="126" t="s">
        <v>82</v>
      </c>
      <c r="B81" s="127">
        <v>44428</v>
      </c>
      <c r="C81" s="128">
        <v>129</v>
      </c>
      <c r="D81" s="48">
        <v>2424.89</v>
      </c>
      <c r="E81" s="48">
        <v>9342.08</v>
      </c>
      <c r="F81" s="48">
        <v>12144.77</v>
      </c>
      <c r="G81" s="48">
        <v>2683.58</v>
      </c>
      <c r="H81" s="48">
        <v>1987.68</v>
      </c>
      <c r="I81" s="48">
        <v>2385.21</v>
      </c>
      <c r="J81" s="48">
        <v>0</v>
      </c>
      <c r="K81" s="48">
        <v>63.82</v>
      </c>
      <c r="L81" s="48"/>
      <c r="M81" s="48">
        <v>357.85</v>
      </c>
      <c r="N81" s="48">
        <v>0</v>
      </c>
      <c r="O81" s="48">
        <v>4887.1400000000003</v>
      </c>
      <c r="P81" s="48">
        <v>3741</v>
      </c>
      <c r="Q81" s="48">
        <v>5109.8599999999997</v>
      </c>
      <c r="R81" s="48">
        <v>7558</v>
      </c>
      <c r="S81" s="48">
        <v>4940.0200000000004</v>
      </c>
      <c r="T81" s="49">
        <f t="shared" ref="T81:T86" si="5">SUM(D81:S81)</f>
        <v>57625.899999999994</v>
      </c>
    </row>
    <row r="82" spans="1:20" s="131" customFormat="1" x14ac:dyDescent="0.25">
      <c r="A82" s="126" t="s">
        <v>83</v>
      </c>
      <c r="B82" s="127">
        <v>44496</v>
      </c>
      <c r="C82" s="128">
        <v>33</v>
      </c>
      <c r="D82" s="48">
        <v>2460.08</v>
      </c>
      <c r="E82" s="48">
        <v>2198.44</v>
      </c>
      <c r="F82" s="48">
        <v>11937.57</v>
      </c>
      <c r="G82" s="48">
        <v>1048.55</v>
      </c>
      <c r="H82" s="48">
        <v>604.94000000000005</v>
      </c>
      <c r="I82" s="48">
        <v>682.18</v>
      </c>
      <c r="J82" s="48">
        <v>0</v>
      </c>
      <c r="K82" s="48">
        <v>2.2799999999999998</v>
      </c>
      <c r="L82" s="48">
        <v>221.84</v>
      </c>
      <c r="M82" s="48">
        <v>0</v>
      </c>
      <c r="N82" s="48">
        <v>0</v>
      </c>
      <c r="O82" s="48">
        <v>2411.5100000000002</v>
      </c>
      <c r="P82" s="48">
        <v>66</v>
      </c>
      <c r="Q82" s="48"/>
      <c r="R82" s="48">
        <v>3738.32</v>
      </c>
      <c r="S82" s="48">
        <v>2364.14</v>
      </c>
      <c r="T82" s="49">
        <f t="shared" si="5"/>
        <v>27735.85</v>
      </c>
    </row>
    <row r="83" spans="1:20" s="131" customFormat="1" x14ac:dyDescent="0.25">
      <c r="A83" s="126" t="s">
        <v>84</v>
      </c>
      <c r="B83" s="127">
        <v>44399</v>
      </c>
      <c r="C83" s="128">
        <v>78</v>
      </c>
      <c r="D83" s="48">
        <v>7560.27</v>
      </c>
      <c r="E83" s="48">
        <v>5825.17</v>
      </c>
      <c r="F83" s="48">
        <v>29373.58</v>
      </c>
      <c r="G83" s="48">
        <v>5825.17</v>
      </c>
      <c r="H83" s="48">
        <v>4492.9399999999996</v>
      </c>
      <c r="I83" s="48">
        <v>1084.6199999999999</v>
      </c>
      <c r="J83" s="48">
        <v>2354.84</v>
      </c>
      <c r="K83" s="48">
        <v>3372.36</v>
      </c>
      <c r="L83" s="48"/>
      <c r="M83" s="48">
        <v>353.33</v>
      </c>
      <c r="N83" s="48">
        <v>423.74</v>
      </c>
      <c r="O83" s="48">
        <v>8538.6200000000008</v>
      </c>
      <c r="P83" s="48">
        <v>158</v>
      </c>
      <c r="Q83" s="48">
        <v>4442.78</v>
      </c>
      <c r="R83" s="48">
        <v>13021.73</v>
      </c>
      <c r="S83" s="48">
        <v>7300.93</v>
      </c>
      <c r="T83" s="49">
        <f t="shared" si="5"/>
        <v>94128.080000000016</v>
      </c>
    </row>
    <row r="84" spans="1:20" s="131" customFormat="1" x14ac:dyDescent="0.25">
      <c r="A84" s="126" t="s">
        <v>85</v>
      </c>
      <c r="B84" s="127">
        <v>44454</v>
      </c>
      <c r="C84" s="128">
        <v>6</v>
      </c>
      <c r="D84" s="48">
        <v>1038.22</v>
      </c>
      <c r="E84" s="48">
        <v>978.65</v>
      </c>
      <c r="F84" s="48">
        <v>6884.54</v>
      </c>
      <c r="G84" s="48">
        <v>927.59</v>
      </c>
      <c r="H84" s="48">
        <v>340.4</v>
      </c>
      <c r="I84" s="48">
        <v>735.08</v>
      </c>
      <c r="J84" s="48">
        <v>0</v>
      </c>
      <c r="K84" s="48">
        <v>180</v>
      </c>
      <c r="L84" s="48">
        <v>255</v>
      </c>
      <c r="M84" s="48">
        <v>0</v>
      </c>
      <c r="N84" s="48">
        <v>0</v>
      </c>
      <c r="O84" s="48">
        <v>1673.95</v>
      </c>
      <c r="P84" s="48">
        <v>35</v>
      </c>
      <c r="Q84" s="48">
        <v>2171.83</v>
      </c>
      <c r="R84" s="48">
        <v>2663.27</v>
      </c>
      <c r="S84" s="48">
        <v>1430.64</v>
      </c>
      <c r="T84" s="49">
        <f t="shared" si="5"/>
        <v>19314.169999999998</v>
      </c>
    </row>
    <row r="85" spans="1:20" s="131" customFormat="1" x14ac:dyDescent="0.25">
      <c r="A85" s="126" t="s">
        <v>86</v>
      </c>
      <c r="B85" s="127">
        <v>44407</v>
      </c>
      <c r="C85" s="128">
        <v>36</v>
      </c>
      <c r="D85" s="48">
        <v>2102.9499999999998</v>
      </c>
      <c r="E85" s="48">
        <v>3912.86</v>
      </c>
      <c r="F85" s="48">
        <v>9411.56</v>
      </c>
      <c r="G85" s="48">
        <v>1154.8900000000001</v>
      </c>
      <c r="H85" s="48">
        <v>1292.79</v>
      </c>
      <c r="I85" s="48">
        <v>682.61</v>
      </c>
      <c r="J85" s="48"/>
      <c r="K85" s="48"/>
      <c r="L85" s="48">
        <v>1716.78</v>
      </c>
      <c r="M85" s="48"/>
      <c r="N85" s="48"/>
      <c r="O85" s="48">
        <v>3043.89</v>
      </c>
      <c r="P85" s="48">
        <v>936</v>
      </c>
      <c r="Q85" s="48">
        <v>3041.28</v>
      </c>
      <c r="R85" s="48">
        <v>4702.75</v>
      </c>
      <c r="S85" s="48">
        <v>2871.57</v>
      </c>
      <c r="T85" s="49">
        <f t="shared" si="5"/>
        <v>34869.93</v>
      </c>
    </row>
    <row r="86" spans="1:20" s="131" customFormat="1" x14ac:dyDescent="0.25">
      <c r="A86" s="126" t="s">
        <v>87</v>
      </c>
      <c r="B86" s="127">
        <v>44427</v>
      </c>
      <c r="C86" s="128">
        <v>67</v>
      </c>
      <c r="D86" s="48">
        <v>3855.46</v>
      </c>
      <c r="E86" s="48">
        <v>6826.02</v>
      </c>
      <c r="F86" s="48">
        <v>18803.2</v>
      </c>
      <c r="G86" s="48">
        <v>3096.98</v>
      </c>
      <c r="H86" s="48">
        <v>853.23</v>
      </c>
      <c r="I86" s="48">
        <v>979.64</v>
      </c>
      <c r="J86" s="48"/>
      <c r="K86" s="48">
        <v>2179.54</v>
      </c>
      <c r="L86" s="48">
        <v>942.8</v>
      </c>
      <c r="M86" s="48">
        <v>253.22</v>
      </c>
      <c r="N86" s="48">
        <v>1117.5</v>
      </c>
      <c r="O86" s="48">
        <v>5927.77</v>
      </c>
      <c r="P86" s="48">
        <v>603</v>
      </c>
      <c r="Q86" s="48">
        <v>6327.1</v>
      </c>
      <c r="R86" s="48">
        <v>9180.94</v>
      </c>
      <c r="S86" s="48">
        <v>5528.51</v>
      </c>
      <c r="T86" s="49">
        <f t="shared" si="5"/>
        <v>66474.91</v>
      </c>
    </row>
    <row r="87" spans="1:20" s="131" customFormat="1" x14ac:dyDescent="0.25">
      <c r="A87" s="126" t="s">
        <v>88</v>
      </c>
      <c r="B87" s="127">
        <v>44439</v>
      </c>
      <c r="C87" s="128">
        <v>2</v>
      </c>
      <c r="D87" s="48">
        <v>124.68</v>
      </c>
      <c r="E87" s="48">
        <v>124.68</v>
      </c>
      <c r="F87" s="48">
        <v>554.94000000000005</v>
      </c>
      <c r="G87" s="48">
        <v>106.03</v>
      </c>
      <c r="H87" s="48">
        <v>81.760000000000005</v>
      </c>
      <c r="I87" s="48">
        <v>67.97</v>
      </c>
      <c r="J87" s="48">
        <v>0</v>
      </c>
      <c r="K87" s="48">
        <v>88.91</v>
      </c>
      <c r="L87" s="48">
        <v>0.2</v>
      </c>
      <c r="M87" s="48">
        <v>59.28</v>
      </c>
      <c r="N87" s="48">
        <v>94.02</v>
      </c>
      <c r="O87" s="48">
        <v>199.24</v>
      </c>
      <c r="P87" s="48">
        <v>12</v>
      </c>
      <c r="Q87" s="48">
        <v>211.88</v>
      </c>
      <c r="R87" s="48">
        <v>306.92</v>
      </c>
      <c r="S87" s="48">
        <v>181.46</v>
      </c>
      <c r="T87" s="49">
        <f>SUM(D87:S87)</f>
        <v>2213.9700000000003</v>
      </c>
    </row>
    <row r="88" spans="1:20" s="131" customFormat="1" x14ac:dyDescent="0.25">
      <c r="A88" s="126" t="s">
        <v>89</v>
      </c>
      <c r="B88" s="127">
        <v>44398</v>
      </c>
      <c r="C88" s="128">
        <v>63</v>
      </c>
      <c r="D88" s="48">
        <v>9500.49</v>
      </c>
      <c r="E88" s="48">
        <v>9733.49</v>
      </c>
      <c r="F88" s="48">
        <v>50681</v>
      </c>
      <c r="G88" s="48">
        <v>6075.38</v>
      </c>
      <c r="H88" s="48">
        <v>3893.66</v>
      </c>
      <c r="I88" s="48">
        <v>3192.82</v>
      </c>
      <c r="J88" s="48"/>
      <c r="K88" s="48">
        <v>2441.34</v>
      </c>
      <c r="L88" s="48"/>
      <c r="M88" s="48">
        <v>545.11</v>
      </c>
      <c r="N88" s="48"/>
      <c r="O88" s="48">
        <v>12456.16</v>
      </c>
      <c r="P88" s="48">
        <v>1174</v>
      </c>
      <c r="Q88" s="48">
        <v>12986.03</v>
      </c>
      <c r="R88" s="48">
        <v>19977.400000000001</v>
      </c>
      <c r="S88" s="48">
        <v>11164.97</v>
      </c>
      <c r="T88" s="49">
        <f>SUM(D88:S88)</f>
        <v>143821.85</v>
      </c>
    </row>
    <row r="89" spans="1:20" s="131" customFormat="1" x14ac:dyDescent="0.25">
      <c r="A89" s="126" t="s">
        <v>90</v>
      </c>
      <c r="B89" s="127">
        <v>44453</v>
      </c>
      <c r="C89" s="128">
        <v>80</v>
      </c>
      <c r="D89" s="48">
        <v>2316.77</v>
      </c>
      <c r="E89" s="48">
        <v>1709.07</v>
      </c>
      <c r="F89" s="48">
        <v>10102.61</v>
      </c>
      <c r="G89" s="48">
        <v>2411.71</v>
      </c>
      <c r="H89" s="48"/>
      <c r="I89" s="48">
        <v>2057.0100000000002</v>
      </c>
      <c r="J89" s="48">
        <v>0</v>
      </c>
      <c r="K89" s="48">
        <v>2030</v>
      </c>
      <c r="L89" s="48">
        <v>4.9400000000000004</v>
      </c>
      <c r="M89" s="48">
        <v>303.83999999999997</v>
      </c>
      <c r="N89" s="48">
        <v>1158.4000000000001</v>
      </c>
      <c r="O89" s="48">
        <v>3426.85</v>
      </c>
      <c r="P89" s="48">
        <v>1920</v>
      </c>
      <c r="Q89" s="48">
        <v>3873.28</v>
      </c>
      <c r="R89" s="48">
        <v>5193.51</v>
      </c>
      <c r="S89" s="48">
        <v>3796.82</v>
      </c>
      <c r="T89" s="49">
        <f>SUM(D89:S89)</f>
        <v>40304.81</v>
      </c>
    </row>
    <row r="90" spans="1:20" s="131" customFormat="1" x14ac:dyDescent="0.25">
      <c r="A90" s="126" t="s">
        <v>91</v>
      </c>
      <c r="B90" s="127">
        <v>44447</v>
      </c>
      <c r="C90" s="128">
        <v>45</v>
      </c>
      <c r="D90" s="48">
        <v>1639.71</v>
      </c>
      <c r="E90" s="48">
        <v>943.29</v>
      </c>
      <c r="F90" s="48">
        <v>6100.08</v>
      </c>
      <c r="G90" s="48">
        <v>603.66999999999996</v>
      </c>
      <c r="H90" s="48">
        <v>537.62</v>
      </c>
      <c r="I90" s="48">
        <v>583.16</v>
      </c>
      <c r="J90" s="48"/>
      <c r="K90" s="48">
        <v>0</v>
      </c>
      <c r="L90" s="48">
        <v>2.1</v>
      </c>
      <c r="M90" s="48">
        <v>191.63</v>
      </c>
      <c r="N90" s="48">
        <v>787.81</v>
      </c>
      <c r="O90" s="48">
        <v>1732.72</v>
      </c>
      <c r="P90" s="48">
        <v>438</v>
      </c>
      <c r="Q90" s="48">
        <v>2708.78</v>
      </c>
      <c r="R90" s="48">
        <v>2903.58</v>
      </c>
      <c r="S90" s="48">
        <v>2084.79</v>
      </c>
      <c r="T90" s="49">
        <f>SUM(C90:S90)</f>
        <v>21301.940000000002</v>
      </c>
    </row>
    <row r="91" spans="1:20" s="131" customFormat="1" x14ac:dyDescent="0.25">
      <c r="A91" s="126" t="s">
        <v>92</v>
      </c>
      <c r="B91" s="127">
        <v>44424</v>
      </c>
      <c r="C91" s="128">
        <v>72</v>
      </c>
      <c r="D91" s="48">
        <v>6388.14</v>
      </c>
      <c r="E91" s="48">
        <v>3717.75</v>
      </c>
      <c r="F91" s="48">
        <v>27385.34</v>
      </c>
      <c r="G91" s="48">
        <v>4293.66</v>
      </c>
      <c r="H91" s="48">
        <v>3141.72</v>
      </c>
      <c r="I91" s="48">
        <v>2722.8</v>
      </c>
      <c r="J91" s="48">
        <v>0</v>
      </c>
      <c r="K91" s="48">
        <v>3097.72</v>
      </c>
      <c r="L91" s="48">
        <v>1.2</v>
      </c>
      <c r="M91" s="48"/>
      <c r="N91" s="48">
        <v>4188.96</v>
      </c>
      <c r="O91" s="48">
        <v>8112.57</v>
      </c>
      <c r="P91" s="48">
        <v>360</v>
      </c>
      <c r="Q91" s="48">
        <v>8920.92</v>
      </c>
      <c r="R91" s="48">
        <v>12915.64</v>
      </c>
      <c r="S91" s="48">
        <v>7465.82</v>
      </c>
      <c r="T91" s="49">
        <f>SUM(D91:S91)</f>
        <v>92712.239999999991</v>
      </c>
    </row>
    <row r="92" spans="1:20" s="131" customFormat="1" x14ac:dyDescent="0.25">
      <c r="A92" s="126" t="s">
        <v>93</v>
      </c>
      <c r="B92" s="127">
        <v>44419</v>
      </c>
      <c r="C92" s="128">
        <v>54</v>
      </c>
      <c r="D92" s="48">
        <v>2424.89</v>
      </c>
      <c r="E92" s="48">
        <v>1192.57</v>
      </c>
      <c r="F92" s="48">
        <v>12343.08</v>
      </c>
      <c r="G92" s="48">
        <v>2385.14</v>
      </c>
      <c r="H92" s="48">
        <v>1987.62</v>
      </c>
      <c r="I92" s="48">
        <v>2288.5500000000002</v>
      </c>
      <c r="J92" s="48"/>
      <c r="K92" s="48">
        <v>38.229999999999997</v>
      </c>
      <c r="L92" s="48"/>
      <c r="M92" s="48">
        <v>377.68</v>
      </c>
      <c r="N92" s="48">
        <v>1927.96</v>
      </c>
      <c r="O92" s="48">
        <v>2361.8200000000002</v>
      </c>
      <c r="P92" s="48"/>
      <c r="Q92" s="48"/>
      <c r="R92" s="48">
        <v>4993.1400000000003</v>
      </c>
      <c r="S92" s="48"/>
      <c r="T92" s="49"/>
    </row>
    <row r="93" spans="1:20" s="131" customFormat="1" x14ac:dyDescent="0.25">
      <c r="A93" s="126" t="s">
        <v>94</v>
      </c>
      <c r="B93" s="127">
        <v>44425</v>
      </c>
      <c r="C93" s="128">
        <v>56</v>
      </c>
      <c r="D93" s="48">
        <v>6612.93</v>
      </c>
      <c r="E93" s="48">
        <v>6341.97</v>
      </c>
      <c r="F93" s="48">
        <v>29975.13</v>
      </c>
      <c r="G93" s="48">
        <v>6233.47</v>
      </c>
      <c r="H93" s="48">
        <v>2168.1799999999998</v>
      </c>
      <c r="I93" s="48">
        <v>1170.27</v>
      </c>
      <c r="J93" s="48"/>
      <c r="K93" s="48"/>
      <c r="L93" s="48">
        <v>851.66</v>
      </c>
      <c r="M93" s="48">
        <v>281.87</v>
      </c>
      <c r="N93" s="48"/>
      <c r="O93" s="48">
        <v>7912.75</v>
      </c>
      <c r="P93" s="48">
        <v>162</v>
      </c>
      <c r="Q93" s="48">
        <v>8683.4500000000007</v>
      </c>
      <c r="R93" s="48">
        <v>12483.78</v>
      </c>
      <c r="S93" s="48">
        <v>7059.74</v>
      </c>
      <c r="T93" s="49">
        <f t="shared" ref="T93:T98" si="6">SUM(D93:S93)</f>
        <v>89937.200000000012</v>
      </c>
    </row>
    <row r="94" spans="1:20" s="131" customFormat="1" x14ac:dyDescent="0.25">
      <c r="A94" s="126" t="s">
        <v>95</v>
      </c>
      <c r="B94" s="127">
        <v>44399</v>
      </c>
      <c r="C94" s="128">
        <v>72</v>
      </c>
      <c r="D94" s="48">
        <v>7837.04</v>
      </c>
      <c r="E94" s="48">
        <v>8929.07</v>
      </c>
      <c r="F94" s="48">
        <v>28845.81</v>
      </c>
      <c r="G94" s="48">
        <v>4496.67</v>
      </c>
      <c r="H94" s="48">
        <v>0</v>
      </c>
      <c r="I94" s="48">
        <v>648.84</v>
      </c>
      <c r="J94" s="48"/>
      <c r="K94" s="48">
        <v>2030</v>
      </c>
      <c r="L94" s="48">
        <v>759.01</v>
      </c>
      <c r="M94" s="48">
        <v>334.02</v>
      </c>
      <c r="N94" s="48"/>
      <c r="O94" s="48">
        <v>7836.52</v>
      </c>
      <c r="P94" s="48">
        <v>1296</v>
      </c>
      <c r="Q94" s="48">
        <v>14455.08</v>
      </c>
      <c r="R94" s="48">
        <v>12700</v>
      </c>
      <c r="S94" s="48">
        <v>9128.33</v>
      </c>
      <c r="T94" s="49">
        <f t="shared" si="6"/>
        <v>99296.39</v>
      </c>
    </row>
    <row r="95" spans="1:20" s="131" customFormat="1" x14ac:dyDescent="0.25">
      <c r="A95" s="126" t="s">
        <v>96</v>
      </c>
      <c r="B95" s="127">
        <v>44391</v>
      </c>
      <c r="C95" s="128">
        <v>12</v>
      </c>
      <c r="D95" s="48">
        <v>1008.88</v>
      </c>
      <c r="E95" s="48">
        <v>1223.3399999999999</v>
      </c>
      <c r="F95" s="48">
        <v>3315.08</v>
      </c>
      <c r="G95" s="48">
        <v>726.93</v>
      </c>
      <c r="H95" s="48">
        <v>413.47</v>
      </c>
      <c r="I95" s="48">
        <v>336.05</v>
      </c>
      <c r="J95" s="48"/>
      <c r="K95" s="48">
        <v>420.59</v>
      </c>
      <c r="L95" s="48"/>
      <c r="M95" s="48">
        <v>124.05</v>
      </c>
      <c r="N95" s="48"/>
      <c r="O95" s="48">
        <v>1162.2</v>
      </c>
      <c r="P95" s="48">
        <v>96</v>
      </c>
      <c r="Q95" s="48">
        <v>1166.43</v>
      </c>
      <c r="R95" s="48">
        <v>1746.98</v>
      </c>
      <c r="S95" s="48">
        <v>1053.48</v>
      </c>
      <c r="T95" s="49">
        <f t="shared" si="6"/>
        <v>12793.48</v>
      </c>
    </row>
    <row r="96" spans="1:20" s="131" customFormat="1" x14ac:dyDescent="0.25">
      <c r="A96" s="126" t="s">
        <v>97</v>
      </c>
      <c r="B96" s="127">
        <v>44490</v>
      </c>
      <c r="C96" s="128">
        <v>36</v>
      </c>
      <c r="D96" s="48">
        <v>1963.31</v>
      </c>
      <c r="E96" s="48">
        <v>1223.07</v>
      </c>
      <c r="F96" s="48">
        <v>8786.75</v>
      </c>
      <c r="G96" s="48">
        <v>1544.92</v>
      </c>
      <c r="H96" s="48">
        <v>724.18</v>
      </c>
      <c r="I96" s="48">
        <v>705.51</v>
      </c>
      <c r="J96" s="48">
        <v>0</v>
      </c>
      <c r="K96" s="48">
        <v>0</v>
      </c>
      <c r="L96" s="48">
        <v>45.32</v>
      </c>
      <c r="M96" s="48">
        <v>144.82</v>
      </c>
      <c r="N96" s="48">
        <v>0</v>
      </c>
      <c r="O96" s="48">
        <v>2179.5100000000002</v>
      </c>
      <c r="P96" s="48">
        <v>180</v>
      </c>
      <c r="Q96" s="48">
        <v>2831.99</v>
      </c>
      <c r="R96" s="48">
        <v>3666.01</v>
      </c>
      <c r="S96" s="48">
        <v>2336.96</v>
      </c>
      <c r="T96" s="49">
        <f t="shared" si="6"/>
        <v>26332.35</v>
      </c>
    </row>
    <row r="97" spans="1:21" s="131" customFormat="1" x14ac:dyDescent="0.25">
      <c r="A97" s="126" t="s">
        <v>98</v>
      </c>
      <c r="B97" s="127">
        <v>44406</v>
      </c>
      <c r="C97" s="128">
        <v>58</v>
      </c>
      <c r="D97" s="48">
        <v>17452.810000000001</v>
      </c>
      <c r="E97" s="48">
        <v>12447.58</v>
      </c>
      <c r="F97" s="48">
        <v>82325.05</v>
      </c>
      <c r="G97" s="48">
        <v>5865.3</v>
      </c>
      <c r="H97" s="48">
        <v>3576.39</v>
      </c>
      <c r="I97" s="48">
        <v>1949.12</v>
      </c>
      <c r="J97" s="48">
        <v>0</v>
      </c>
      <c r="K97" s="48">
        <v>14538.37</v>
      </c>
      <c r="L97" s="48">
        <v>32044.560000000001</v>
      </c>
      <c r="M97" s="48">
        <v>1664.74</v>
      </c>
      <c r="N97" s="48">
        <v>6780.86</v>
      </c>
      <c r="O97" s="48">
        <v>24004.54</v>
      </c>
      <c r="P97" s="48">
        <v>1373</v>
      </c>
      <c r="Q97" s="48">
        <v>27860.75</v>
      </c>
      <c r="R97" s="48">
        <v>41489.1</v>
      </c>
      <c r="S97" s="48">
        <v>22060.57</v>
      </c>
      <c r="T97" s="49">
        <f t="shared" si="6"/>
        <v>295432.74</v>
      </c>
    </row>
    <row r="98" spans="1:21" s="131" customFormat="1" x14ac:dyDescent="0.25">
      <c r="A98" s="126" t="s">
        <v>99</v>
      </c>
      <c r="B98" s="127">
        <v>44398</v>
      </c>
      <c r="C98" s="128">
        <v>33</v>
      </c>
      <c r="D98" s="48">
        <v>6052.74</v>
      </c>
      <c r="E98" s="48">
        <v>6201.64</v>
      </c>
      <c r="F98" s="48">
        <v>34431.15</v>
      </c>
      <c r="G98" s="48">
        <v>5407.76</v>
      </c>
      <c r="H98" s="48">
        <v>2778.29</v>
      </c>
      <c r="I98" s="48">
        <v>2612.11</v>
      </c>
      <c r="J98" s="48"/>
      <c r="K98" s="48">
        <v>1285.48</v>
      </c>
      <c r="L98" s="48"/>
      <c r="M98" s="48">
        <v>793.79</v>
      </c>
      <c r="N98" s="48"/>
      <c r="O98" s="48"/>
      <c r="P98" s="48">
        <v>525</v>
      </c>
      <c r="Q98" s="48"/>
      <c r="R98" s="48">
        <v>11982.91</v>
      </c>
      <c r="S98" s="48">
        <v>14019.13</v>
      </c>
      <c r="T98" s="49">
        <f t="shared" si="6"/>
        <v>86090.000000000015</v>
      </c>
      <c r="U98" s="131" t="s">
        <v>161</v>
      </c>
    </row>
    <row r="99" spans="1:21" s="131" customFormat="1" x14ac:dyDescent="0.25">
      <c r="A99" s="126" t="s">
        <v>100</v>
      </c>
      <c r="B99" s="135">
        <v>44497</v>
      </c>
      <c r="C99" s="128">
        <v>0</v>
      </c>
      <c r="D99" s="48">
        <v>0</v>
      </c>
      <c r="E99" s="48">
        <v>0</v>
      </c>
      <c r="F99" s="48">
        <v>0</v>
      </c>
      <c r="G99" s="48">
        <v>0</v>
      </c>
      <c r="H99" s="48">
        <v>0</v>
      </c>
      <c r="I99" s="48">
        <v>0</v>
      </c>
      <c r="J99" s="48">
        <v>0</v>
      </c>
      <c r="K99" s="48">
        <v>0</v>
      </c>
      <c r="L99" s="48">
        <v>0</v>
      </c>
      <c r="M99" s="48">
        <v>0</v>
      </c>
      <c r="N99" s="48">
        <v>0</v>
      </c>
      <c r="O99" s="48">
        <v>0</v>
      </c>
      <c r="P99" s="48">
        <v>0</v>
      </c>
      <c r="Q99" s="48">
        <v>0</v>
      </c>
      <c r="R99" s="48">
        <v>0</v>
      </c>
      <c r="S99" s="48">
        <v>0</v>
      </c>
      <c r="T99" s="49">
        <v>0</v>
      </c>
      <c r="U99" s="129"/>
    </row>
    <row r="100" spans="1:21" s="131" customFormat="1" x14ac:dyDescent="0.25">
      <c r="A100" s="126" t="s">
        <v>101</v>
      </c>
      <c r="B100" s="127">
        <v>44392</v>
      </c>
      <c r="C100" s="128">
        <v>44</v>
      </c>
      <c r="D100" s="48">
        <v>2222.1799999999998</v>
      </c>
      <c r="E100" s="48">
        <v>3513.25</v>
      </c>
      <c r="F100" s="48">
        <v>12203.82</v>
      </c>
      <c r="G100" s="48">
        <v>2203.98</v>
      </c>
      <c r="H100" s="48">
        <v>1056.46</v>
      </c>
      <c r="I100" s="48">
        <v>1906.69</v>
      </c>
      <c r="J100" s="48"/>
      <c r="K100" s="48">
        <v>159.85</v>
      </c>
      <c r="L100" s="48">
        <v>364.29</v>
      </c>
      <c r="M100" s="48">
        <v>255.02</v>
      </c>
      <c r="N100" s="48">
        <v>1741.54</v>
      </c>
      <c r="O100" s="48">
        <v>3244.23</v>
      </c>
      <c r="P100" s="48">
        <v>92</v>
      </c>
      <c r="Q100" s="48"/>
      <c r="R100" s="48">
        <v>4987.41</v>
      </c>
      <c r="S100" s="48">
        <v>3183.69</v>
      </c>
      <c r="T100" s="49">
        <f>SUM(D100:S100)</f>
        <v>37134.410000000003</v>
      </c>
    </row>
    <row r="101" spans="1:21" s="131" customFormat="1" ht="15.75" x14ac:dyDescent="0.25">
      <c r="A101" s="138" t="s">
        <v>143</v>
      </c>
      <c r="B101" s="127">
        <v>44460</v>
      </c>
      <c r="C101" s="128">
        <v>74</v>
      </c>
      <c r="D101" s="48">
        <v>5347.34</v>
      </c>
      <c r="E101" s="48">
        <v>4646.05</v>
      </c>
      <c r="F101" s="48">
        <v>25057.84</v>
      </c>
      <c r="G101" s="48">
        <v>7012.96</v>
      </c>
      <c r="H101" s="48">
        <v>2629.86</v>
      </c>
      <c r="I101" s="48">
        <v>1221.1500000000001</v>
      </c>
      <c r="J101" s="48"/>
      <c r="K101" s="48"/>
      <c r="L101" s="48">
        <v>5.58</v>
      </c>
      <c r="M101" s="48">
        <v>701.26</v>
      </c>
      <c r="N101" s="48"/>
      <c r="O101" s="48">
        <v>7134.24</v>
      </c>
      <c r="P101" s="48">
        <v>814</v>
      </c>
      <c r="Q101" s="48">
        <v>8167.29</v>
      </c>
      <c r="R101" s="48">
        <v>11105.87</v>
      </c>
      <c r="S101" s="48">
        <v>6588.95</v>
      </c>
      <c r="T101" s="49">
        <f>SUM(D101:S101)</f>
        <v>80432.39</v>
      </c>
    </row>
    <row r="102" spans="1:21" s="131" customFormat="1" ht="15.75" customHeight="1" x14ac:dyDescent="0.25">
      <c r="A102" s="138" t="s">
        <v>103</v>
      </c>
      <c r="B102" s="127">
        <v>44482</v>
      </c>
      <c r="C102" s="128">
        <v>88</v>
      </c>
      <c r="D102" s="48">
        <v>13333.17</v>
      </c>
      <c r="E102" s="48">
        <v>19671.919999999998</v>
      </c>
      <c r="F102" s="48">
        <v>80023.92</v>
      </c>
      <c r="G102" s="48">
        <v>14753.97</v>
      </c>
      <c r="H102" s="48">
        <v>6557.31</v>
      </c>
      <c r="I102" s="48">
        <v>4233.8500000000004</v>
      </c>
      <c r="J102" s="48"/>
      <c r="K102" s="48">
        <v>46.22</v>
      </c>
      <c r="L102" s="48">
        <v>13611.6</v>
      </c>
      <c r="M102" s="48">
        <v>874.32</v>
      </c>
      <c r="N102" s="48">
        <v>0</v>
      </c>
      <c r="O102" s="48">
        <v>19488.98</v>
      </c>
      <c r="P102" s="48">
        <v>176</v>
      </c>
      <c r="Q102" s="48"/>
      <c r="R102" s="48">
        <v>30621.25</v>
      </c>
      <c r="S102" s="48">
        <v>16190.62</v>
      </c>
      <c r="T102" s="49">
        <f>SUM(D102:S102)</f>
        <v>219583.13000000003</v>
      </c>
    </row>
    <row r="103" spans="1:21" s="131" customFormat="1" x14ac:dyDescent="0.25">
      <c r="A103" s="126" t="s">
        <v>104</v>
      </c>
      <c r="B103" s="127">
        <v>44482</v>
      </c>
      <c r="C103" s="128">
        <v>33</v>
      </c>
      <c r="D103" s="48">
        <v>2922.86</v>
      </c>
      <c r="E103" s="48">
        <v>2769.76</v>
      </c>
      <c r="F103" s="48">
        <v>12122.78</v>
      </c>
      <c r="G103" s="48">
        <v>1197.9000000000001</v>
      </c>
      <c r="H103" s="48">
        <v>1916.65</v>
      </c>
      <c r="I103" s="48">
        <v>833.76</v>
      </c>
      <c r="J103" s="48">
        <v>0</v>
      </c>
      <c r="K103" s="48">
        <v>5.16</v>
      </c>
      <c r="L103" s="50">
        <v>0</v>
      </c>
      <c r="M103" s="48">
        <v>0</v>
      </c>
      <c r="N103" s="48">
        <v>0</v>
      </c>
      <c r="O103" s="48">
        <v>2846.24</v>
      </c>
      <c r="P103" s="48">
        <v>0</v>
      </c>
      <c r="Q103" s="48"/>
      <c r="R103" s="48">
        <v>4425.1400000000003</v>
      </c>
      <c r="S103" s="48">
        <v>2243.54</v>
      </c>
      <c r="T103" s="49">
        <f>SUM(D103:S103)</f>
        <v>31283.79</v>
      </c>
    </row>
    <row r="104" spans="1:21" s="131" customFormat="1" x14ac:dyDescent="0.25">
      <c r="A104" s="126" t="s">
        <v>105</v>
      </c>
      <c r="B104" s="127">
        <v>44427</v>
      </c>
      <c r="C104" s="128">
        <v>167</v>
      </c>
      <c r="D104" s="48">
        <v>19903.39</v>
      </c>
      <c r="E104" s="48">
        <v>7993.97</v>
      </c>
      <c r="F104" s="48">
        <v>79825.67</v>
      </c>
      <c r="G104" s="48">
        <v>10767.39</v>
      </c>
      <c r="H104" s="48">
        <v>4894.29</v>
      </c>
      <c r="I104" s="48">
        <v>2525.4499999999998</v>
      </c>
      <c r="J104" s="48"/>
      <c r="K104" s="48"/>
      <c r="L104" s="48"/>
      <c r="M104" s="48">
        <v>3.34</v>
      </c>
      <c r="N104" s="48"/>
      <c r="O104" s="48">
        <v>18419.68</v>
      </c>
      <c r="P104" s="48">
        <v>2338</v>
      </c>
      <c r="Q104" s="48">
        <v>20437.599999999999</v>
      </c>
      <c r="R104" s="48">
        <v>29604.15</v>
      </c>
      <c r="S104" s="48">
        <v>17140.05</v>
      </c>
      <c r="T104" s="49">
        <f>SUM(C104:S104)</f>
        <v>214019.97999999998</v>
      </c>
    </row>
    <row r="105" spans="1:21" s="131" customFormat="1" x14ac:dyDescent="0.25">
      <c r="A105" s="126" t="s">
        <v>106</v>
      </c>
      <c r="B105" s="127">
        <v>44425</v>
      </c>
      <c r="C105" s="128">
        <v>4</v>
      </c>
      <c r="D105" s="48">
        <v>226.06</v>
      </c>
      <c r="E105" s="48">
        <v>255.71</v>
      </c>
      <c r="F105" s="48">
        <v>1260.03</v>
      </c>
      <c r="G105" s="48">
        <v>285.35000000000002</v>
      </c>
      <c r="H105" s="48">
        <v>138.97</v>
      </c>
      <c r="I105" s="48">
        <v>222.36</v>
      </c>
      <c r="J105" s="48">
        <v>0</v>
      </c>
      <c r="K105" s="48">
        <v>0</v>
      </c>
      <c r="L105" s="48">
        <v>0</v>
      </c>
      <c r="M105" s="48">
        <v>72.260000000000005</v>
      </c>
      <c r="N105" s="48">
        <v>0</v>
      </c>
      <c r="O105" s="48">
        <v>382.27</v>
      </c>
      <c r="P105" s="48">
        <v>141.75</v>
      </c>
      <c r="Q105" s="48">
        <v>400.53</v>
      </c>
      <c r="R105" s="48">
        <v>572.25</v>
      </c>
      <c r="S105" s="48">
        <v>361.13</v>
      </c>
      <c r="T105" s="49">
        <f t="shared" ref="T105:T113" si="7">SUM(D105:S105)</f>
        <v>4318.67</v>
      </c>
    </row>
    <row r="106" spans="1:21" s="131" customFormat="1" x14ac:dyDescent="0.25">
      <c r="A106" s="126" t="s">
        <v>107</v>
      </c>
      <c r="B106" s="127">
        <v>44432</v>
      </c>
      <c r="C106" s="128">
        <v>50</v>
      </c>
      <c r="D106" s="48">
        <v>3000.75</v>
      </c>
      <c r="E106" s="48">
        <v>2031.98</v>
      </c>
      <c r="F106" s="48">
        <v>10526.81</v>
      </c>
      <c r="G106" s="48">
        <v>1992.29</v>
      </c>
      <c r="H106" s="48">
        <v>1721.71</v>
      </c>
      <c r="I106" s="48">
        <v>1096</v>
      </c>
      <c r="J106" s="48">
        <v>0</v>
      </c>
      <c r="K106" s="48">
        <v>12.03</v>
      </c>
      <c r="L106" s="48"/>
      <c r="M106" s="48">
        <v>221.37</v>
      </c>
      <c r="N106" s="48">
        <v>0</v>
      </c>
      <c r="O106" s="48">
        <v>2716.54</v>
      </c>
      <c r="P106" s="48">
        <v>104</v>
      </c>
      <c r="Q106" s="48"/>
      <c r="R106" s="48">
        <v>4068.4</v>
      </c>
      <c r="S106" s="48">
        <v>2814.16</v>
      </c>
      <c r="T106" s="49">
        <f t="shared" si="7"/>
        <v>30306.039999999997</v>
      </c>
    </row>
    <row r="107" spans="1:21" s="131" customFormat="1" x14ac:dyDescent="0.25">
      <c r="A107" s="126" t="s">
        <v>108</v>
      </c>
      <c r="B107" s="127">
        <v>44433</v>
      </c>
      <c r="C107" s="128">
        <v>31</v>
      </c>
      <c r="D107" s="48">
        <v>3237.74</v>
      </c>
      <c r="E107" s="48">
        <v>1884.28</v>
      </c>
      <c r="F107" s="48">
        <v>14835.26</v>
      </c>
      <c r="G107" s="48">
        <v>2786.57</v>
      </c>
      <c r="H107" s="48">
        <v>1194.22</v>
      </c>
      <c r="I107" s="48">
        <v>0</v>
      </c>
      <c r="J107" s="48">
        <v>0</v>
      </c>
      <c r="K107" s="48">
        <v>0</v>
      </c>
      <c r="L107" s="48">
        <v>1.06</v>
      </c>
      <c r="M107" s="48">
        <v>0</v>
      </c>
      <c r="N107" s="48">
        <v>0</v>
      </c>
      <c r="O107" s="48">
        <v>3711.63</v>
      </c>
      <c r="P107" s="48">
        <v>310</v>
      </c>
      <c r="Q107" s="48">
        <v>3896.12</v>
      </c>
      <c r="R107" s="48">
        <v>5629.04</v>
      </c>
      <c r="S107" s="48">
        <v>3248.55</v>
      </c>
      <c r="T107" s="49">
        <f t="shared" si="7"/>
        <v>40734.47</v>
      </c>
    </row>
    <row r="108" spans="1:21" s="131" customFormat="1" x14ac:dyDescent="0.25">
      <c r="A108" s="126" t="s">
        <v>109</v>
      </c>
      <c r="B108" s="127">
        <v>44397</v>
      </c>
      <c r="C108" s="128">
        <v>61</v>
      </c>
      <c r="D108" s="48">
        <v>3516.13</v>
      </c>
      <c r="E108" s="48">
        <v>2235.9499999999998</v>
      </c>
      <c r="F108" s="48">
        <v>15044.41</v>
      </c>
      <c r="G108" s="48">
        <v>1815.73</v>
      </c>
      <c r="H108" s="48">
        <v>1296.95</v>
      </c>
      <c r="I108" s="48">
        <v>1095.4000000000001</v>
      </c>
      <c r="J108" s="48">
        <v>1902.12</v>
      </c>
      <c r="K108" s="48">
        <v>1.79</v>
      </c>
      <c r="L108" s="48"/>
      <c r="M108" s="48">
        <v>259.36</v>
      </c>
      <c r="N108" s="48">
        <v>1930.95</v>
      </c>
      <c r="O108" s="48">
        <v>3883.38</v>
      </c>
      <c r="P108" s="48">
        <v>122</v>
      </c>
      <c r="Q108" s="48"/>
      <c r="R108" s="48">
        <v>5758.79</v>
      </c>
      <c r="S108" s="48">
        <v>3794.38</v>
      </c>
      <c r="T108" s="49">
        <f t="shared" si="7"/>
        <v>42657.34</v>
      </c>
    </row>
    <row r="109" spans="1:21" s="131" customFormat="1" x14ac:dyDescent="0.25">
      <c r="A109" s="126" t="s">
        <v>110</v>
      </c>
      <c r="B109" s="127">
        <v>44424</v>
      </c>
      <c r="C109" s="128">
        <v>34</v>
      </c>
      <c r="D109" s="48">
        <v>9682.4500000000007</v>
      </c>
      <c r="E109" s="48">
        <v>4920.6000000000004</v>
      </c>
      <c r="F109" s="48">
        <v>45713.79</v>
      </c>
      <c r="G109" s="48">
        <v>4365.03</v>
      </c>
      <c r="H109" s="48">
        <v>3492.03</v>
      </c>
      <c r="I109" s="48">
        <v>1404.71</v>
      </c>
      <c r="J109" s="48">
        <v>0</v>
      </c>
      <c r="K109" s="48">
        <v>0</v>
      </c>
      <c r="L109" s="48"/>
      <c r="M109" s="48">
        <v>0</v>
      </c>
      <c r="N109" s="48">
        <v>0</v>
      </c>
      <c r="O109" s="48">
        <v>10026.450000000001</v>
      </c>
      <c r="P109" s="48">
        <v>714</v>
      </c>
      <c r="Q109" s="48">
        <v>11286.02</v>
      </c>
      <c r="R109" s="48">
        <v>16240.96</v>
      </c>
      <c r="S109" s="48">
        <v>8596.4500000000007</v>
      </c>
      <c r="T109" s="49">
        <f t="shared" si="7"/>
        <v>116442.49</v>
      </c>
    </row>
    <row r="110" spans="1:21" s="131" customFormat="1" x14ac:dyDescent="0.25">
      <c r="A110" s="126" t="s">
        <v>111</v>
      </c>
      <c r="B110" s="127">
        <v>44391</v>
      </c>
      <c r="C110" s="128">
        <v>60</v>
      </c>
      <c r="D110" s="48">
        <v>12492.44</v>
      </c>
      <c r="E110" s="48">
        <v>10956.44</v>
      </c>
      <c r="F110" s="48">
        <v>74852.28</v>
      </c>
      <c r="G110" s="48">
        <v>3379.16</v>
      </c>
      <c r="H110" s="48">
        <v>3839.86</v>
      </c>
      <c r="I110" s="48">
        <v>2078.61</v>
      </c>
      <c r="J110" s="48"/>
      <c r="K110" s="48">
        <v>9600.4</v>
      </c>
      <c r="L110" s="48">
        <v>2867.13</v>
      </c>
      <c r="M110" s="48">
        <v>1023.97</v>
      </c>
      <c r="N110" s="48"/>
      <c r="O110" s="48">
        <v>16373.34</v>
      </c>
      <c r="P110" s="48">
        <v>780</v>
      </c>
      <c r="Q110" s="48">
        <v>18091.93</v>
      </c>
      <c r="R110" s="48">
        <v>27956.48</v>
      </c>
      <c r="S110" s="48">
        <v>14818.22</v>
      </c>
      <c r="T110" s="49">
        <f t="shared" si="7"/>
        <v>199110.26</v>
      </c>
    </row>
    <row r="111" spans="1:21" s="131" customFormat="1" x14ac:dyDescent="0.25">
      <c r="A111" s="126" t="s">
        <v>112</v>
      </c>
      <c r="B111" s="127">
        <v>44426</v>
      </c>
      <c r="C111" s="128">
        <v>32</v>
      </c>
      <c r="D111" s="48">
        <v>3893</v>
      </c>
      <c r="E111" s="48">
        <v>3222.92</v>
      </c>
      <c r="F111" s="48">
        <v>17071.84</v>
      </c>
      <c r="G111" s="48">
        <v>1978.4</v>
      </c>
      <c r="H111" s="48"/>
      <c r="I111" s="48">
        <v>620.33000000000004</v>
      </c>
      <c r="J111" s="48"/>
      <c r="K111" s="48"/>
      <c r="L111" s="48"/>
      <c r="M111" s="48"/>
      <c r="N111" s="48">
        <v>1180.67</v>
      </c>
      <c r="O111" s="48">
        <v>4145.8599999999997</v>
      </c>
      <c r="P111" s="48">
        <v>320</v>
      </c>
      <c r="Q111" s="48">
        <v>4542.22</v>
      </c>
      <c r="R111" s="48">
        <v>6501.87</v>
      </c>
      <c r="S111" s="48">
        <v>3730.95</v>
      </c>
      <c r="T111" s="49">
        <f t="shared" si="7"/>
        <v>47208.060000000005</v>
      </c>
    </row>
    <row r="112" spans="1:21" s="131" customFormat="1" x14ac:dyDescent="0.25">
      <c r="A112" s="126" t="s">
        <v>113</v>
      </c>
      <c r="B112" s="127">
        <v>44426</v>
      </c>
      <c r="C112" s="128">
        <v>18</v>
      </c>
      <c r="D112" s="48">
        <v>991.26</v>
      </c>
      <c r="E112" s="48">
        <v>617.5</v>
      </c>
      <c r="F112" s="48">
        <v>5070</v>
      </c>
      <c r="G112" s="48">
        <v>381.88</v>
      </c>
      <c r="H112" s="48">
        <v>325</v>
      </c>
      <c r="I112" s="48">
        <v>278.69</v>
      </c>
      <c r="J112" s="48"/>
      <c r="K112" s="48">
        <v>586.75</v>
      </c>
      <c r="L112" s="48">
        <v>4.2</v>
      </c>
      <c r="M112" s="48">
        <v>70.66</v>
      </c>
      <c r="N112" s="48">
        <v>0</v>
      </c>
      <c r="O112" s="48">
        <v>1212.24</v>
      </c>
      <c r="P112" s="48">
        <v>486</v>
      </c>
      <c r="Q112" s="48">
        <v>1348.35</v>
      </c>
      <c r="R112" s="48">
        <v>1931.26</v>
      </c>
      <c r="S112" s="48">
        <v>1235.6500000000001</v>
      </c>
      <c r="T112" s="49">
        <f t="shared" si="7"/>
        <v>14539.44</v>
      </c>
    </row>
    <row r="113" spans="1:20" s="131" customFormat="1" x14ac:dyDescent="0.25">
      <c r="A113" s="126" t="s">
        <v>114</v>
      </c>
      <c r="B113" s="127">
        <v>44433</v>
      </c>
      <c r="C113" s="128">
        <v>24</v>
      </c>
      <c r="D113" s="48">
        <v>1278.25</v>
      </c>
      <c r="E113" s="48">
        <v>876.09</v>
      </c>
      <c r="F113" s="48">
        <v>4461.1000000000004</v>
      </c>
      <c r="G113" s="48">
        <v>819.1</v>
      </c>
      <c r="H113" s="48">
        <v>331.44</v>
      </c>
      <c r="I113" s="48">
        <v>450.27</v>
      </c>
      <c r="J113" s="48">
        <v>827.17</v>
      </c>
      <c r="K113" s="48">
        <v>0</v>
      </c>
      <c r="L113" s="48">
        <v>0</v>
      </c>
      <c r="M113" s="48">
        <v>0</v>
      </c>
      <c r="N113" s="48">
        <v>0</v>
      </c>
      <c r="O113" s="48">
        <v>1159</v>
      </c>
      <c r="P113" s="48"/>
      <c r="Q113" s="48"/>
      <c r="R113" s="48">
        <v>1829.29</v>
      </c>
      <c r="S113" s="48">
        <v>1151.1500000000001</v>
      </c>
      <c r="T113" s="49">
        <f t="shared" si="7"/>
        <v>13182.859999999999</v>
      </c>
    </row>
    <row r="114" spans="1:20" s="131" customFormat="1" x14ac:dyDescent="0.25">
      <c r="A114" s="126" t="s">
        <v>115</v>
      </c>
      <c r="B114" s="127">
        <v>44413</v>
      </c>
      <c r="C114" s="128">
        <v>22</v>
      </c>
      <c r="D114" s="48">
        <v>1682.97</v>
      </c>
      <c r="E114" s="48">
        <v>1365.7</v>
      </c>
      <c r="F114" s="48">
        <v>6290.47</v>
      </c>
      <c r="G114" s="48">
        <v>841.48</v>
      </c>
      <c r="H114" s="48">
        <v>593</v>
      </c>
      <c r="I114" s="48">
        <v>524.20000000000005</v>
      </c>
      <c r="J114" s="48"/>
      <c r="K114" s="48">
        <v>2.35</v>
      </c>
      <c r="L114" s="48">
        <v>109.7</v>
      </c>
      <c r="M114" s="48">
        <v>137.97</v>
      </c>
      <c r="N114" s="48"/>
      <c r="O114" s="48">
        <v>1482.81</v>
      </c>
      <c r="P114" s="48">
        <v>44</v>
      </c>
      <c r="Q114" s="48"/>
      <c r="R114" s="48">
        <v>2309.6</v>
      </c>
      <c r="S114" s="48">
        <v>1374.79</v>
      </c>
      <c r="T114" s="139">
        <f t="shared" ref="T114:T121" si="8">SUM(D114:S114)</f>
        <v>16759.04</v>
      </c>
    </row>
    <row r="115" spans="1:20" s="131" customFormat="1" x14ac:dyDescent="0.25">
      <c r="A115" s="126" t="s">
        <v>116</v>
      </c>
      <c r="B115" s="127">
        <v>44397</v>
      </c>
      <c r="C115" s="128">
        <v>73</v>
      </c>
      <c r="D115" s="48">
        <v>1755.44</v>
      </c>
      <c r="E115" s="48">
        <v>1151.0999999999999</v>
      </c>
      <c r="F115" s="48">
        <v>7928.12</v>
      </c>
      <c r="G115" s="48">
        <v>705.05</v>
      </c>
      <c r="H115" s="48"/>
      <c r="I115" s="48"/>
      <c r="J115" s="48">
        <v>1438.84</v>
      </c>
      <c r="K115" s="48">
        <v>1311.94</v>
      </c>
      <c r="L115" s="48"/>
      <c r="M115" s="48"/>
      <c r="N115" s="48">
        <v>1439.7</v>
      </c>
      <c r="O115" s="48">
        <v>2080.54</v>
      </c>
      <c r="P115" s="48">
        <v>584</v>
      </c>
      <c r="Q115" s="48"/>
      <c r="R115" s="48">
        <v>3145</v>
      </c>
      <c r="S115" s="48">
        <v>4492.91</v>
      </c>
      <c r="T115" s="49">
        <f t="shared" si="8"/>
        <v>26032.639999999999</v>
      </c>
    </row>
    <row r="116" spans="1:20" s="131" customFormat="1" x14ac:dyDescent="0.25">
      <c r="A116" s="126" t="s">
        <v>117</v>
      </c>
      <c r="B116" s="127">
        <v>44397</v>
      </c>
      <c r="C116" s="128">
        <v>25</v>
      </c>
      <c r="D116" s="48">
        <v>1861.72</v>
      </c>
      <c r="E116" s="48">
        <v>1190.28</v>
      </c>
      <c r="F116" s="48">
        <v>11521.31</v>
      </c>
      <c r="G116" s="48">
        <v>1785.42</v>
      </c>
      <c r="H116" s="48">
        <v>510.4</v>
      </c>
      <c r="I116" s="48">
        <v>664.56</v>
      </c>
      <c r="J116" s="48"/>
      <c r="K116" s="48">
        <v>5.26</v>
      </c>
      <c r="L116" s="48"/>
      <c r="M116" s="48">
        <v>79.260000000000005</v>
      </c>
      <c r="N116" s="48"/>
      <c r="O116" s="48">
        <v>2745.67</v>
      </c>
      <c r="P116" s="48">
        <v>270</v>
      </c>
      <c r="Q116" s="48">
        <v>2060.85</v>
      </c>
      <c r="R116" s="48">
        <v>4075.89</v>
      </c>
      <c r="S116" s="48">
        <v>2442.9499999999998</v>
      </c>
      <c r="T116" s="49">
        <f t="shared" si="8"/>
        <v>29213.569999999996</v>
      </c>
    </row>
    <row r="117" spans="1:20" s="131" customFormat="1" x14ac:dyDescent="0.25">
      <c r="A117" s="126" t="s">
        <v>118</v>
      </c>
      <c r="B117" s="127">
        <v>44460</v>
      </c>
      <c r="C117" s="128">
        <v>43</v>
      </c>
      <c r="D117" s="48">
        <v>2214.1</v>
      </c>
      <c r="E117" s="48">
        <v>1814.82</v>
      </c>
      <c r="F117" s="48">
        <v>13121.26</v>
      </c>
      <c r="G117" s="48">
        <v>1197.79</v>
      </c>
      <c r="H117" s="48">
        <v>952.78</v>
      </c>
      <c r="I117" s="48">
        <v>408.35</v>
      </c>
      <c r="J117" s="48">
        <v>0</v>
      </c>
      <c r="K117" s="48">
        <v>0</v>
      </c>
      <c r="L117" s="48">
        <v>0</v>
      </c>
      <c r="M117" s="48">
        <v>16.62</v>
      </c>
      <c r="N117" s="48">
        <v>0</v>
      </c>
      <c r="O117" s="48">
        <v>2695.15</v>
      </c>
      <c r="P117" s="48">
        <v>258</v>
      </c>
      <c r="Q117" s="48">
        <v>3436.22</v>
      </c>
      <c r="R117" s="48">
        <v>4632.42</v>
      </c>
      <c r="S117" s="48">
        <v>2961.21</v>
      </c>
      <c r="T117" s="49">
        <f t="shared" si="8"/>
        <v>33708.720000000001</v>
      </c>
    </row>
    <row r="118" spans="1:20" s="131" customFormat="1" x14ac:dyDescent="0.25">
      <c r="A118" s="126" t="s">
        <v>119</v>
      </c>
      <c r="B118" s="127">
        <v>44428</v>
      </c>
      <c r="C118" s="128">
        <v>164</v>
      </c>
      <c r="D118" s="48">
        <v>21462.17</v>
      </c>
      <c r="E118" s="48">
        <v>25508.37</v>
      </c>
      <c r="F118" s="48">
        <v>55201.78</v>
      </c>
      <c r="G118" s="48">
        <v>6860.87</v>
      </c>
      <c r="H118" s="48">
        <v>4398</v>
      </c>
      <c r="I118" s="48">
        <v>1029.1300000000001</v>
      </c>
      <c r="J118" s="48">
        <v>0</v>
      </c>
      <c r="K118" s="48">
        <v>3170</v>
      </c>
      <c r="L118" s="48">
        <v>591.34</v>
      </c>
      <c r="M118" s="48">
        <v>442.52</v>
      </c>
      <c r="N118" s="48">
        <v>0</v>
      </c>
      <c r="O118" s="48">
        <v>17120.96</v>
      </c>
      <c r="P118" s="48">
        <v>5740</v>
      </c>
      <c r="Q118" s="48">
        <v>19249.009999999998</v>
      </c>
      <c r="R118" s="48">
        <v>27910.68</v>
      </c>
      <c r="S118" s="48">
        <v>16251.19</v>
      </c>
      <c r="T118" s="49">
        <f t="shared" si="8"/>
        <v>204936.02</v>
      </c>
    </row>
    <row r="119" spans="1:20" s="131" customFormat="1" x14ac:dyDescent="0.25">
      <c r="A119" s="126" t="s">
        <v>120</v>
      </c>
      <c r="B119" s="127">
        <v>44411</v>
      </c>
      <c r="C119" s="128">
        <v>23</v>
      </c>
      <c r="D119" s="48">
        <v>1447.55</v>
      </c>
      <c r="E119" s="48">
        <v>996.67</v>
      </c>
      <c r="F119" s="48">
        <v>7095.44</v>
      </c>
      <c r="G119" s="48">
        <v>1008.56</v>
      </c>
      <c r="H119" s="48">
        <v>271.45999999999998</v>
      </c>
      <c r="I119" s="48">
        <v>1291.8699999999999</v>
      </c>
      <c r="J119" s="48">
        <v>0</v>
      </c>
      <c r="K119" s="48">
        <v>945</v>
      </c>
      <c r="L119" s="48">
        <v>9.75</v>
      </c>
      <c r="M119" s="48">
        <v>132.38</v>
      </c>
      <c r="N119" s="48">
        <v>0</v>
      </c>
      <c r="O119" s="48">
        <v>1951.81</v>
      </c>
      <c r="P119" s="48">
        <v>437</v>
      </c>
      <c r="Q119" s="48">
        <v>2143.37</v>
      </c>
      <c r="R119" s="48">
        <v>3114.39</v>
      </c>
      <c r="S119" s="48">
        <v>1879.21</v>
      </c>
      <c r="T119" s="49">
        <f t="shared" si="8"/>
        <v>22724.459999999995</v>
      </c>
    </row>
    <row r="120" spans="1:20" s="131" customFormat="1" x14ac:dyDescent="0.25">
      <c r="A120" s="126" t="s">
        <v>121</v>
      </c>
      <c r="B120" s="135">
        <v>44460</v>
      </c>
      <c r="C120" s="128">
        <v>41</v>
      </c>
      <c r="D120" s="48">
        <v>3648.44</v>
      </c>
      <c r="E120" s="48">
        <v>3768.04</v>
      </c>
      <c r="F120" s="48">
        <v>14713.33</v>
      </c>
      <c r="G120" s="48">
        <v>2691.45</v>
      </c>
      <c r="H120" s="48">
        <v>1046.68</v>
      </c>
      <c r="I120" s="48">
        <v>2691.46</v>
      </c>
      <c r="J120" s="48"/>
      <c r="K120" s="48"/>
      <c r="L120" s="48">
        <v>6.33</v>
      </c>
      <c r="M120" s="48">
        <v>448.57</v>
      </c>
      <c r="N120" s="48">
        <v>367.96</v>
      </c>
      <c r="O120" s="48">
        <v>4564.2299999999996</v>
      </c>
      <c r="P120" s="48">
        <v>164</v>
      </c>
      <c r="Q120" s="48">
        <v>5151.22</v>
      </c>
      <c r="R120" s="48">
        <v>6906.72</v>
      </c>
      <c r="S120" s="48">
        <v>4068.35</v>
      </c>
      <c r="T120" s="49">
        <f t="shared" si="8"/>
        <v>50236.78</v>
      </c>
    </row>
    <row r="121" spans="1:20" s="131" customFormat="1" x14ac:dyDescent="0.25">
      <c r="A121" s="126" t="s">
        <v>122</v>
      </c>
      <c r="B121" s="127">
        <v>44439</v>
      </c>
      <c r="C121" s="128">
        <v>27</v>
      </c>
      <c r="D121" s="48">
        <v>2448.31</v>
      </c>
      <c r="E121" s="48">
        <v>4017.04</v>
      </c>
      <c r="F121" s="48">
        <v>11541.18</v>
      </c>
      <c r="G121" s="48">
        <v>1840.96</v>
      </c>
      <c r="H121" s="48">
        <v>969.34</v>
      </c>
      <c r="I121" s="48">
        <v>1257.6600000000001</v>
      </c>
      <c r="J121" s="48"/>
      <c r="K121" s="48">
        <v>2.4300000000000002</v>
      </c>
      <c r="L121" s="48"/>
      <c r="M121" s="48"/>
      <c r="N121" s="48">
        <v>1103.6500000000001</v>
      </c>
      <c r="O121" s="48">
        <v>2872.05</v>
      </c>
      <c r="P121" s="48">
        <v>54</v>
      </c>
      <c r="Q121" s="48"/>
      <c r="R121" s="48">
        <v>4582.1099999999997</v>
      </c>
      <c r="S121" s="48">
        <v>2691.05</v>
      </c>
      <c r="T121" s="49">
        <f t="shared" si="8"/>
        <v>33379.78</v>
      </c>
    </row>
    <row r="122" spans="1:20" s="131" customFormat="1" x14ac:dyDescent="0.25">
      <c r="A122" s="126" t="s">
        <v>142</v>
      </c>
      <c r="B122" s="127">
        <v>44419</v>
      </c>
      <c r="C122" s="128">
        <v>70</v>
      </c>
      <c r="D122" s="50">
        <v>7283.78</v>
      </c>
      <c r="E122" s="48">
        <v>4656.87</v>
      </c>
      <c r="F122" s="48">
        <v>21367.39</v>
      </c>
      <c r="G122" s="48">
        <v>3104.55</v>
      </c>
      <c r="H122" s="48">
        <v>2388.13</v>
      </c>
      <c r="I122" s="48">
        <v>3164.27</v>
      </c>
      <c r="J122" s="48"/>
      <c r="K122" s="48"/>
      <c r="L122" s="48">
        <v>61.5</v>
      </c>
      <c r="M122" s="48">
        <v>835.87</v>
      </c>
      <c r="N122" s="48"/>
      <c r="O122" s="48">
        <v>6659.9</v>
      </c>
      <c r="P122" s="48">
        <v>910</v>
      </c>
      <c r="Q122" s="48">
        <v>6976.62</v>
      </c>
      <c r="R122" s="48">
        <v>10107.780000000001</v>
      </c>
      <c r="S122" s="48">
        <v>6033.88</v>
      </c>
      <c r="T122" s="49">
        <f>SUM(D122:S122)</f>
        <v>73550.540000000008</v>
      </c>
    </row>
    <row r="123" spans="1:20" s="131" customFormat="1" x14ac:dyDescent="0.25">
      <c r="A123" s="126" t="s">
        <v>165</v>
      </c>
      <c r="B123" s="127">
        <v>44418</v>
      </c>
      <c r="C123" s="128">
        <v>40</v>
      </c>
      <c r="D123" s="50">
        <v>4608.62</v>
      </c>
      <c r="E123" s="48">
        <v>2946.54</v>
      </c>
      <c r="F123" s="48">
        <v>11281.08</v>
      </c>
      <c r="G123" s="48">
        <v>1964.32</v>
      </c>
      <c r="H123" s="48">
        <v>1511.03</v>
      </c>
      <c r="I123" s="48">
        <v>2002.13</v>
      </c>
      <c r="J123" s="48">
        <v>8.0399999999999991</v>
      </c>
      <c r="K123" s="48"/>
      <c r="L123" s="48"/>
      <c r="M123" s="48">
        <v>528.87</v>
      </c>
      <c r="N123" s="48"/>
      <c r="O123" s="48">
        <v>3864.26</v>
      </c>
      <c r="P123" s="48">
        <v>520</v>
      </c>
      <c r="Q123" s="48">
        <v>4045.06</v>
      </c>
      <c r="R123" s="48">
        <v>5859.13</v>
      </c>
      <c r="S123" s="48">
        <v>3489.56</v>
      </c>
      <c r="T123" s="49">
        <f>SUM(D123:S123)</f>
        <v>42628.639999999992</v>
      </c>
    </row>
    <row r="124" spans="1:20" s="131" customFormat="1" x14ac:dyDescent="0.25">
      <c r="A124" s="126" t="s">
        <v>123</v>
      </c>
      <c r="B124" s="127">
        <v>44453</v>
      </c>
      <c r="C124" s="128">
        <v>25</v>
      </c>
      <c r="D124" s="48">
        <v>2057.2199999999998</v>
      </c>
      <c r="E124" s="48">
        <v>1685.26</v>
      </c>
      <c r="F124" s="48">
        <v>6324.36</v>
      </c>
      <c r="G124" s="48">
        <v>2355.0500000000002</v>
      </c>
      <c r="H124" s="48">
        <v>1091.8800000000001</v>
      </c>
      <c r="I124" s="48">
        <v>2335.17</v>
      </c>
      <c r="J124" s="48">
        <v>0</v>
      </c>
      <c r="K124" s="48">
        <v>24.65</v>
      </c>
      <c r="L124" s="48">
        <v>0</v>
      </c>
      <c r="M124" s="48">
        <v>784.1</v>
      </c>
      <c r="N124" s="48">
        <v>0</v>
      </c>
      <c r="O124" s="48">
        <v>2110.9699999999998</v>
      </c>
      <c r="P124" s="48">
        <v>74</v>
      </c>
      <c r="Q124" s="48">
        <v>0</v>
      </c>
      <c r="R124" s="48">
        <v>3257.56</v>
      </c>
      <c r="S124" s="48">
        <v>2573.79</v>
      </c>
      <c r="T124" s="49">
        <f>SUM(D124:S124)</f>
        <v>24674.010000000002</v>
      </c>
    </row>
    <row r="125" spans="1:20" s="131" customFormat="1" x14ac:dyDescent="0.25">
      <c r="A125" s="126" t="s">
        <v>124</v>
      </c>
      <c r="B125" s="127">
        <v>44435</v>
      </c>
      <c r="C125" s="128">
        <v>35</v>
      </c>
      <c r="D125" s="48">
        <v>2393.38</v>
      </c>
      <c r="E125" s="48">
        <v>1373.26</v>
      </c>
      <c r="F125" s="48">
        <v>13693.38</v>
      </c>
      <c r="G125" s="48">
        <v>1235.94</v>
      </c>
      <c r="H125" s="48">
        <v>392.36</v>
      </c>
      <c r="I125" s="48">
        <v>342.15</v>
      </c>
      <c r="J125" s="48">
        <v>0</v>
      </c>
      <c r="K125" s="48">
        <v>545.83000000000004</v>
      </c>
      <c r="L125" s="48"/>
      <c r="M125" s="48"/>
      <c r="N125" s="48">
        <v>0</v>
      </c>
      <c r="O125" s="48">
        <v>2772.97</v>
      </c>
      <c r="P125" s="48">
        <v>240</v>
      </c>
      <c r="Q125" s="48">
        <v>3482.44</v>
      </c>
      <c r="R125" s="48">
        <v>4691.76</v>
      </c>
      <c r="S125" s="48">
        <v>2570.88</v>
      </c>
      <c r="T125" s="49">
        <f>SUM(D125:S125)</f>
        <v>33734.35</v>
      </c>
    </row>
    <row r="126" spans="1:20" x14ac:dyDescent="0.25">
      <c r="A126" s="140"/>
    </row>
    <row r="127" spans="1:20" x14ac:dyDescent="0.25">
      <c r="A127" s="144" t="s">
        <v>138</v>
      </c>
      <c r="C127" s="128">
        <f>SUM(C2:C126)</f>
        <v>9150</v>
      </c>
      <c r="D127" s="145">
        <f t="shared" ref="D127:O127" si="9">SUM(D2:D126)</f>
        <v>887566.51</v>
      </c>
      <c r="E127" s="145">
        <f t="shared" si="9"/>
        <v>929089.65999999945</v>
      </c>
      <c r="F127" s="145">
        <f t="shared" si="9"/>
        <v>4409360.3999999976</v>
      </c>
      <c r="G127" s="145">
        <f t="shared" si="9"/>
        <v>427218.68999999994</v>
      </c>
      <c r="H127" s="145">
        <f t="shared" si="9"/>
        <v>239940.64</v>
      </c>
      <c r="I127" s="145">
        <f t="shared" si="9"/>
        <v>356843.81000000006</v>
      </c>
      <c r="J127" s="145">
        <f t="shared" si="9"/>
        <v>15230.83</v>
      </c>
      <c r="K127" s="145">
        <f t="shared" si="9"/>
        <v>335243.50999999989</v>
      </c>
      <c r="L127" s="145">
        <f t="shared" si="9"/>
        <v>148336.63999999998</v>
      </c>
      <c r="M127" s="145">
        <f t="shared" si="9"/>
        <v>36165.910000000003</v>
      </c>
      <c r="N127" s="145">
        <f t="shared" si="9"/>
        <v>84815.519999999975</v>
      </c>
      <c r="O127" s="145">
        <f t="shared" si="9"/>
        <v>1049477.2700000003</v>
      </c>
      <c r="P127" s="145">
        <f>SUM(P2:P126)</f>
        <v>93629.010000000009</v>
      </c>
      <c r="Q127" s="145">
        <f>SUM(Q2:Q126)</f>
        <v>1037035.0300000003</v>
      </c>
      <c r="R127" s="145">
        <f>SUM(R2:R126)</f>
        <v>1745791.7599999995</v>
      </c>
      <c r="S127" s="145">
        <f>SUM(S2:S126)</f>
        <v>1044418.0599999995</v>
      </c>
      <c r="T127" s="146">
        <f>SUM(D127:S127)</f>
        <v>12840163.249999994</v>
      </c>
    </row>
    <row r="130" spans="1:20" x14ac:dyDescent="0.25">
      <c r="A130" s="140"/>
      <c r="T130" s="146"/>
    </row>
  </sheetData>
  <pageMargins left="0.7" right="0.7" top="0.75" bottom="0.75" header="0.3" footer="0.3"/>
  <pageSetup paperSize="5" orientation="portrait" r:id="rId1"/>
  <headerFooter>
    <oddFooter>&amp;L_x000D_&amp;1#&amp;"Calibri"&amp;8&amp;K000000 Sensitivity: Internal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998"/>
  <sheetViews>
    <sheetView zoomScale="85" zoomScaleNormal="85" workbookViewId="0">
      <pane xSplit="7" ySplit="11" topLeftCell="H105" activePane="bottomRight" state="frozen"/>
      <selection pane="topRight" activeCell="H1" sqref="H1"/>
      <selection pane="bottomLeft" activeCell="A12" sqref="A12"/>
      <selection pane="bottomRight" activeCell="H137" sqref="H137"/>
    </sheetView>
  </sheetViews>
  <sheetFormatPr defaultColWidth="9.140625" defaultRowHeight="15.75" x14ac:dyDescent="0.25"/>
  <cols>
    <col min="1" max="1" width="21.85546875" style="31" customWidth="1"/>
    <col min="2" max="2" width="12.7109375" style="28" customWidth="1"/>
    <col min="3" max="3" width="14.5703125" style="76" customWidth="1"/>
    <col min="4" max="4" width="19.85546875" style="28" customWidth="1"/>
    <col min="5" max="5" width="13.7109375" style="28" customWidth="1"/>
    <col min="6" max="6" width="18.85546875" style="28" customWidth="1"/>
    <col min="7" max="7" width="15" style="28" customWidth="1"/>
    <col min="8" max="8" width="14.140625" style="28" customWidth="1"/>
    <col min="9" max="9" width="15.28515625" style="28" customWidth="1"/>
    <col min="10" max="10" width="15.85546875" style="28" customWidth="1"/>
    <col min="11" max="11" width="14.5703125" style="28" customWidth="1"/>
    <col min="12" max="12" width="15.85546875" style="28" customWidth="1"/>
    <col min="13" max="13" width="15" style="28" customWidth="1"/>
    <col min="14" max="14" width="14.140625" style="28" customWidth="1"/>
    <col min="15" max="15" width="14.42578125" style="28" customWidth="1"/>
    <col min="16" max="16" width="17.42578125" style="28" customWidth="1"/>
    <col min="17" max="17" width="15.28515625" style="28" customWidth="1"/>
    <col min="18" max="18" width="16.5703125" style="28" customWidth="1"/>
    <col min="19" max="19" width="13.7109375" style="28" customWidth="1"/>
    <col min="20" max="20" width="20.28515625" style="58" customWidth="1"/>
    <col min="21" max="21" width="10.85546875" style="28" customWidth="1"/>
    <col min="22" max="16384" width="9.140625" style="28"/>
  </cols>
  <sheetData>
    <row r="1" spans="1:60" x14ac:dyDescent="0.25">
      <c r="A1" s="51" t="s">
        <v>0</v>
      </c>
      <c r="B1" s="52" t="s">
        <v>139</v>
      </c>
      <c r="C1" s="53" t="s">
        <v>136</v>
      </c>
      <c r="D1" s="54" t="s">
        <v>1</v>
      </c>
      <c r="E1" s="54" t="s">
        <v>2</v>
      </c>
      <c r="F1" s="54" t="s">
        <v>3</v>
      </c>
      <c r="G1" s="54" t="s">
        <v>128</v>
      </c>
      <c r="H1" s="54" t="s">
        <v>129</v>
      </c>
      <c r="I1" s="54" t="s">
        <v>130</v>
      </c>
      <c r="J1" s="54" t="s">
        <v>137</v>
      </c>
      <c r="K1" s="54" t="s">
        <v>132</v>
      </c>
      <c r="L1" s="54" t="s">
        <v>133</v>
      </c>
      <c r="M1" s="54" t="s">
        <v>134</v>
      </c>
      <c r="N1" s="54" t="s">
        <v>131</v>
      </c>
      <c r="O1" s="54" t="s">
        <v>4</v>
      </c>
      <c r="P1" s="54" t="s">
        <v>125</v>
      </c>
      <c r="Q1" s="54" t="s">
        <v>127</v>
      </c>
      <c r="R1" s="54" t="s">
        <v>5</v>
      </c>
      <c r="S1" s="54" t="s">
        <v>126</v>
      </c>
      <c r="T1" s="55" t="s">
        <v>135</v>
      </c>
    </row>
    <row r="2" spans="1:60" s="56" customFormat="1" ht="17.25" customHeight="1" x14ac:dyDescent="0.25">
      <c r="A2" s="31" t="s">
        <v>6</v>
      </c>
      <c r="B2" s="57">
        <v>44825</v>
      </c>
      <c r="C2" s="58">
        <v>40</v>
      </c>
      <c r="D2" s="59">
        <v>1936.02</v>
      </c>
      <c r="E2" s="59">
        <v>2679.04</v>
      </c>
      <c r="F2" s="59">
        <v>8720.15</v>
      </c>
      <c r="G2" s="59">
        <v>862.25</v>
      </c>
      <c r="H2" s="59">
        <v>488.97</v>
      </c>
      <c r="I2" s="59">
        <v>1024.95</v>
      </c>
      <c r="J2" s="59">
        <v>1626.89</v>
      </c>
      <c r="K2" s="59">
        <v>961.7</v>
      </c>
      <c r="L2" s="59">
        <v>0</v>
      </c>
      <c r="M2" s="59">
        <v>292.83</v>
      </c>
      <c r="N2" s="78">
        <v>1155.0899999999999</v>
      </c>
      <c r="O2" s="78">
        <v>2772.79</v>
      </c>
      <c r="P2" s="78">
        <v>80</v>
      </c>
      <c r="Q2" s="78"/>
      <c r="R2" s="59">
        <v>4195.53</v>
      </c>
      <c r="S2" s="60">
        <v>2697.78</v>
      </c>
      <c r="T2" s="61">
        <f t="shared" ref="T2:T9" si="0">SUM(D2:S2)</f>
        <v>29493.99</v>
      </c>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row>
    <row r="3" spans="1:60" s="56" customFormat="1" x14ac:dyDescent="0.25">
      <c r="A3" s="31" t="s">
        <v>7</v>
      </c>
      <c r="B3" s="57">
        <v>44791</v>
      </c>
      <c r="C3" s="58">
        <v>39</v>
      </c>
      <c r="D3" s="59">
        <v>1802</v>
      </c>
      <c r="E3" s="59">
        <v>1332.55</v>
      </c>
      <c r="F3" s="59">
        <v>8025.67</v>
      </c>
      <c r="G3" s="59">
        <v>1090.28</v>
      </c>
      <c r="H3" s="59">
        <v>832.87</v>
      </c>
      <c r="I3" s="59">
        <v>499.71</v>
      </c>
      <c r="J3" s="59"/>
      <c r="K3" s="59">
        <v>742.18</v>
      </c>
      <c r="L3" s="59">
        <v>1.1200000000000001</v>
      </c>
      <c r="M3" s="59">
        <v>302.85000000000002</v>
      </c>
      <c r="N3" s="59">
        <v>1196.3</v>
      </c>
      <c r="O3" s="59">
        <v>2367.36</v>
      </c>
      <c r="P3" s="59">
        <v>273</v>
      </c>
      <c r="Q3" s="59">
        <v>2581.34</v>
      </c>
      <c r="R3" s="59">
        <v>3799.38</v>
      </c>
      <c r="S3" s="60">
        <v>2445.67</v>
      </c>
      <c r="T3" s="61">
        <f t="shared" si="0"/>
        <v>27292.280000000006</v>
      </c>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row>
    <row r="4" spans="1:60" s="56" customFormat="1" x14ac:dyDescent="0.25">
      <c r="A4" s="31" t="s">
        <v>8</v>
      </c>
      <c r="B4" s="57">
        <v>44795</v>
      </c>
      <c r="C4" s="58">
        <v>29</v>
      </c>
      <c r="D4" s="59">
        <v>3736</v>
      </c>
      <c r="E4" s="59">
        <v>5165.8999999999996</v>
      </c>
      <c r="F4" s="59">
        <v>19558.939999999999</v>
      </c>
      <c r="G4" s="59">
        <v>2354.63</v>
      </c>
      <c r="H4" s="59">
        <v>941.84</v>
      </c>
      <c r="I4" s="59">
        <v>439.53</v>
      </c>
      <c r="J4" s="59">
        <v>0</v>
      </c>
      <c r="K4" s="59">
        <v>1644.13</v>
      </c>
      <c r="L4" s="59">
        <v>0</v>
      </c>
      <c r="M4" s="59">
        <v>0</v>
      </c>
      <c r="N4" s="59">
        <v>0</v>
      </c>
      <c r="O4" s="59">
        <v>4131.25</v>
      </c>
      <c r="P4" s="59">
        <v>0</v>
      </c>
      <c r="Q4" s="59">
        <v>0</v>
      </c>
      <c r="R4" s="59">
        <v>6617</v>
      </c>
      <c r="S4" s="60">
        <v>0</v>
      </c>
      <c r="T4" s="61">
        <f t="shared" si="0"/>
        <v>44589.219999999994</v>
      </c>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row>
    <row r="5" spans="1:60" s="56" customFormat="1" x14ac:dyDescent="0.25">
      <c r="A5" s="31" t="s">
        <v>9</v>
      </c>
      <c r="B5" s="57">
        <v>44783</v>
      </c>
      <c r="C5" s="58">
        <v>20</v>
      </c>
      <c r="D5" s="59">
        <v>1397.91</v>
      </c>
      <c r="E5" s="59">
        <v>2631.35</v>
      </c>
      <c r="F5" s="59">
        <v>6507.89</v>
      </c>
      <c r="G5" s="59">
        <v>0</v>
      </c>
      <c r="H5" s="59">
        <v>352.41</v>
      </c>
      <c r="I5" s="59">
        <v>364.16</v>
      </c>
      <c r="J5" s="59">
        <v>0</v>
      </c>
      <c r="K5" s="59">
        <v>0.32</v>
      </c>
      <c r="L5" s="59"/>
      <c r="M5" s="59">
        <v>187.95</v>
      </c>
      <c r="N5" s="59">
        <v>822.29</v>
      </c>
      <c r="O5" s="59">
        <v>1873.63</v>
      </c>
      <c r="P5" s="59">
        <v>20</v>
      </c>
      <c r="Q5" s="59">
        <v>1996.68</v>
      </c>
      <c r="R5" s="59">
        <v>2851.78</v>
      </c>
      <c r="S5" s="60">
        <v>1625.88</v>
      </c>
      <c r="T5" s="61">
        <f t="shared" si="0"/>
        <v>20632.250000000004</v>
      </c>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row>
    <row r="6" spans="1:60" s="56" customFormat="1" x14ac:dyDescent="0.25">
      <c r="A6" s="31" t="s">
        <v>10</v>
      </c>
      <c r="B6" s="57">
        <v>44832</v>
      </c>
      <c r="C6" s="58">
        <v>90</v>
      </c>
      <c r="D6" s="59">
        <v>776.52</v>
      </c>
      <c r="E6" s="59">
        <v>9475.6299999999992</v>
      </c>
      <c r="F6" s="59">
        <v>49844.74</v>
      </c>
      <c r="G6" s="59">
        <v>1895.14</v>
      </c>
      <c r="H6" s="59">
        <v>0</v>
      </c>
      <c r="I6" s="59">
        <v>1045.58</v>
      </c>
      <c r="J6" s="59"/>
      <c r="K6" s="59">
        <v>1365</v>
      </c>
      <c r="L6" s="59">
        <v>1383.74</v>
      </c>
      <c r="M6" s="59"/>
      <c r="N6" s="59">
        <v>1568.38</v>
      </c>
      <c r="O6" s="59">
        <v>10764.52</v>
      </c>
      <c r="P6" s="59">
        <v>990</v>
      </c>
      <c r="Q6" s="59">
        <v>10084.32</v>
      </c>
      <c r="R6" s="59">
        <v>17648.68</v>
      </c>
      <c r="S6" s="60">
        <v>10084.32</v>
      </c>
      <c r="T6" s="61">
        <f t="shared" si="0"/>
        <v>116926.57</v>
      </c>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row>
    <row r="7" spans="1:60" s="56" customFormat="1" x14ac:dyDescent="0.25">
      <c r="A7" s="31" t="s">
        <v>11</v>
      </c>
      <c r="B7" s="57">
        <v>44760</v>
      </c>
      <c r="C7" s="58">
        <v>44</v>
      </c>
      <c r="D7" s="59">
        <v>2124.17</v>
      </c>
      <c r="E7" s="59">
        <v>1802.92</v>
      </c>
      <c r="F7" s="59">
        <v>9353.5400000000009</v>
      </c>
      <c r="G7" s="59">
        <v>1588.71</v>
      </c>
      <c r="H7" s="59">
        <v>1249.52</v>
      </c>
      <c r="I7" s="59">
        <v>1076.3800000000001</v>
      </c>
      <c r="J7" s="59">
        <v>0</v>
      </c>
      <c r="K7" s="59">
        <v>1174.67</v>
      </c>
      <c r="L7" s="59">
        <v>24.13</v>
      </c>
      <c r="M7" s="59">
        <v>374.84</v>
      </c>
      <c r="N7" s="59">
        <v>1660.09</v>
      </c>
      <c r="O7" s="59">
        <v>2543.39</v>
      </c>
      <c r="P7" s="59">
        <v>44</v>
      </c>
      <c r="Q7" s="59"/>
      <c r="R7" s="59">
        <v>4085.78</v>
      </c>
      <c r="S7" s="60">
        <v>2702.91</v>
      </c>
      <c r="T7" s="61">
        <f t="shared" si="0"/>
        <v>29805.050000000003</v>
      </c>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row>
    <row r="8" spans="1:60" s="56" customFormat="1" ht="13.5" customHeight="1" x14ac:dyDescent="0.25">
      <c r="A8" s="31" t="s">
        <v>12</v>
      </c>
      <c r="B8" s="57">
        <v>44783</v>
      </c>
      <c r="C8" s="58">
        <v>90</v>
      </c>
      <c r="D8" s="59">
        <v>5544.62</v>
      </c>
      <c r="E8" s="59">
        <v>6147.95</v>
      </c>
      <c r="F8" s="59">
        <v>28750</v>
      </c>
      <c r="G8" s="59">
        <v>4192.5200000000004</v>
      </c>
      <c r="H8" s="59">
        <v>2562.2600000000002</v>
      </c>
      <c r="I8" s="59">
        <v>2325.16</v>
      </c>
      <c r="J8" s="59"/>
      <c r="K8" s="59">
        <v>31.82</v>
      </c>
      <c r="L8" s="59">
        <v>2922.16</v>
      </c>
      <c r="M8" s="59">
        <v>1769.97</v>
      </c>
      <c r="N8" s="59">
        <v>0</v>
      </c>
      <c r="O8" s="59">
        <v>8049.93</v>
      </c>
      <c r="P8" s="59">
        <v>705</v>
      </c>
      <c r="Q8" s="59">
        <v>8929.1299999999992</v>
      </c>
      <c r="R8" s="59">
        <v>12931.34</v>
      </c>
      <c r="S8" s="60">
        <v>7700.76</v>
      </c>
      <c r="T8" s="61">
        <f t="shared" si="0"/>
        <v>92562.619999999981</v>
      </c>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row>
    <row r="9" spans="1:60" s="56" customFormat="1" x14ac:dyDescent="0.25">
      <c r="A9" s="31" t="s">
        <v>13</v>
      </c>
      <c r="B9" s="57">
        <v>44775</v>
      </c>
      <c r="C9" s="58">
        <v>80</v>
      </c>
      <c r="D9" s="59">
        <v>13512.35</v>
      </c>
      <c r="E9" s="59">
        <v>11127.83</v>
      </c>
      <c r="F9" s="59">
        <v>78014.789999999994</v>
      </c>
      <c r="G9" s="59">
        <v>5223.29</v>
      </c>
      <c r="H9" s="59">
        <v>2384.59</v>
      </c>
      <c r="I9" s="59">
        <v>1930.37</v>
      </c>
      <c r="J9" s="59">
        <v>0</v>
      </c>
      <c r="K9" s="59">
        <v>14748.53</v>
      </c>
      <c r="L9" s="59">
        <v>0</v>
      </c>
      <c r="M9" s="59">
        <v>0</v>
      </c>
      <c r="N9" s="59">
        <v>0</v>
      </c>
      <c r="O9" s="59">
        <v>17191.53</v>
      </c>
      <c r="P9" s="59">
        <v>160</v>
      </c>
      <c r="Q9" s="59">
        <v>20217.080000000002</v>
      </c>
      <c r="R9" s="59">
        <v>29180.77</v>
      </c>
      <c r="S9" s="60">
        <v>15710.43</v>
      </c>
      <c r="T9" s="61">
        <f t="shared" si="0"/>
        <v>209401.55999999997</v>
      </c>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row>
    <row r="10" spans="1:60" s="56" customFormat="1" x14ac:dyDescent="0.25">
      <c r="A10" s="31" t="s">
        <v>14</v>
      </c>
      <c r="B10" s="57">
        <v>44756</v>
      </c>
      <c r="C10" s="58">
        <v>52</v>
      </c>
      <c r="D10" s="59">
        <v>4670.03</v>
      </c>
      <c r="E10" s="59">
        <v>3924.36</v>
      </c>
      <c r="F10" s="79">
        <v>15161.86</v>
      </c>
      <c r="G10" s="59">
        <v>3335.72</v>
      </c>
      <c r="H10" s="59">
        <v>1805.21</v>
      </c>
      <c r="I10" s="59">
        <v>1059.58</v>
      </c>
      <c r="J10" s="59">
        <v>0</v>
      </c>
      <c r="K10" s="59"/>
      <c r="L10" s="59"/>
      <c r="M10" s="59">
        <v>274.72000000000003</v>
      </c>
      <c r="N10" s="59">
        <v>0</v>
      </c>
      <c r="O10" s="59">
        <v>4363.53</v>
      </c>
      <c r="P10" s="59">
        <v>1352</v>
      </c>
      <c r="Q10" s="59">
        <v>4516.8</v>
      </c>
      <c r="R10" s="59">
        <v>6951.58</v>
      </c>
      <c r="S10" s="60">
        <v>780</v>
      </c>
      <c r="T10" s="61">
        <f>SUM(D10:S10)</f>
        <v>48195.390000000007</v>
      </c>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row>
    <row r="11" spans="1:60" s="56" customFormat="1" x14ac:dyDescent="0.25">
      <c r="A11" s="31" t="s">
        <v>15</v>
      </c>
      <c r="B11" s="57">
        <v>44791</v>
      </c>
      <c r="C11" s="58">
        <v>442</v>
      </c>
      <c r="D11" s="59">
        <v>36489.54</v>
      </c>
      <c r="E11" s="59">
        <v>51384.6</v>
      </c>
      <c r="F11" s="59">
        <v>116402.48</v>
      </c>
      <c r="G11" s="59">
        <v>35289.870000000003</v>
      </c>
      <c r="H11" s="59">
        <v>18217.89</v>
      </c>
      <c r="I11" s="59">
        <v>10952.03</v>
      </c>
      <c r="J11" s="59"/>
      <c r="K11" s="59">
        <v>14367.54</v>
      </c>
      <c r="L11" s="59">
        <v>9.2200000000000006</v>
      </c>
      <c r="M11" s="59">
        <v>1485.02</v>
      </c>
      <c r="N11" s="59">
        <v>29095.64</v>
      </c>
      <c r="O11" s="59">
        <v>48139.17</v>
      </c>
      <c r="P11" s="59">
        <v>7467.1</v>
      </c>
      <c r="Q11" s="59">
        <v>54789.87</v>
      </c>
      <c r="R11" s="59">
        <v>76070.97</v>
      </c>
      <c r="S11" s="60">
        <v>46339.79</v>
      </c>
      <c r="T11" s="61">
        <f>SUM(D11:S11)</f>
        <v>546500.73</v>
      </c>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row>
    <row r="12" spans="1:60" s="56" customFormat="1" x14ac:dyDescent="0.25">
      <c r="A12" s="31" t="s">
        <v>16</v>
      </c>
      <c r="B12" s="57">
        <v>44795</v>
      </c>
      <c r="C12" s="58">
        <v>41</v>
      </c>
      <c r="D12" s="59"/>
      <c r="E12" s="59"/>
      <c r="F12" s="59"/>
      <c r="G12" s="59"/>
      <c r="H12" s="59"/>
      <c r="I12" s="59"/>
      <c r="J12" s="59"/>
      <c r="K12" s="59"/>
      <c r="L12" s="59"/>
      <c r="M12" s="59"/>
      <c r="N12" s="59"/>
      <c r="O12" s="59"/>
      <c r="P12" s="59"/>
      <c r="Q12" s="59"/>
      <c r="R12" s="59"/>
      <c r="S12" s="60"/>
      <c r="T12" s="61">
        <v>85969.82</v>
      </c>
      <c r="U12" s="28" t="s">
        <v>175</v>
      </c>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row>
    <row r="13" spans="1:60" s="56" customFormat="1" x14ac:dyDescent="0.25">
      <c r="A13" s="31" t="s">
        <v>17</v>
      </c>
      <c r="B13" s="57">
        <v>44816</v>
      </c>
      <c r="C13" s="58"/>
      <c r="D13" s="59"/>
      <c r="E13" s="59"/>
      <c r="F13" s="59"/>
      <c r="G13" s="59"/>
      <c r="H13" s="59"/>
      <c r="I13" s="59"/>
      <c r="J13" s="59"/>
      <c r="K13" s="59"/>
      <c r="L13" s="59"/>
      <c r="M13" s="59"/>
      <c r="N13" s="59"/>
      <c r="O13" s="59"/>
      <c r="P13" s="59"/>
      <c r="Q13" s="59"/>
      <c r="R13" s="59"/>
      <c r="S13" s="60"/>
      <c r="T13" s="61"/>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row>
    <row r="14" spans="1:60" s="56" customFormat="1" x14ac:dyDescent="0.25">
      <c r="A14" s="31" t="s">
        <v>18</v>
      </c>
      <c r="B14" s="57">
        <v>44840</v>
      </c>
      <c r="C14" s="58"/>
      <c r="D14" s="59"/>
      <c r="E14" s="59"/>
      <c r="F14" s="59"/>
      <c r="G14" s="59"/>
      <c r="H14" s="59"/>
      <c r="I14" s="59"/>
      <c r="J14" s="59"/>
      <c r="K14" s="59"/>
      <c r="L14" s="59"/>
      <c r="M14" s="59"/>
      <c r="N14" s="59"/>
      <c r="O14" s="59"/>
      <c r="P14" s="59"/>
      <c r="Q14" s="59"/>
      <c r="R14" s="59"/>
      <c r="S14" s="60"/>
      <c r="T14" s="61"/>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row>
    <row r="15" spans="1:60" s="56" customFormat="1" x14ac:dyDescent="0.25">
      <c r="A15" s="31" t="s">
        <v>19</v>
      </c>
      <c r="B15" s="57">
        <v>44760</v>
      </c>
      <c r="C15" s="58">
        <v>55</v>
      </c>
      <c r="D15" s="59">
        <v>3297.89</v>
      </c>
      <c r="E15" s="59">
        <v>4073.82</v>
      </c>
      <c r="F15" s="59">
        <v>15676.48</v>
      </c>
      <c r="G15" s="59">
        <v>2217.08</v>
      </c>
      <c r="H15" s="59">
        <v>859.09</v>
      </c>
      <c r="I15" s="59">
        <v>1376.75</v>
      </c>
      <c r="J15" s="59"/>
      <c r="K15" s="59">
        <v>2162.41</v>
      </c>
      <c r="L15" s="59"/>
      <c r="M15" s="59">
        <v>277.16000000000003</v>
      </c>
      <c r="N15" s="59">
        <v>1660.09</v>
      </c>
      <c r="O15" s="59">
        <v>4043.69</v>
      </c>
      <c r="P15" s="59">
        <v>941.56</v>
      </c>
      <c r="Q15" s="59"/>
      <c r="R15" s="59">
        <v>5099.46</v>
      </c>
      <c r="S15" s="60">
        <v>3819.69</v>
      </c>
      <c r="T15" s="61">
        <f>SUM(D15:S15)</f>
        <v>45505.17</v>
      </c>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row>
    <row r="16" spans="1:60" s="56" customFormat="1" x14ac:dyDescent="0.25">
      <c r="A16" s="31" t="s">
        <v>20</v>
      </c>
      <c r="B16" s="57">
        <v>44784</v>
      </c>
      <c r="C16" s="58">
        <v>130</v>
      </c>
      <c r="D16" s="59">
        <v>17501.54</v>
      </c>
      <c r="E16" s="59">
        <v>13824.76</v>
      </c>
      <c r="F16" s="59">
        <v>109715.51</v>
      </c>
      <c r="G16" s="59">
        <v>9118.41</v>
      </c>
      <c r="H16" s="59">
        <v>3529.77</v>
      </c>
      <c r="I16" s="59">
        <v>1323.64</v>
      </c>
      <c r="J16" s="59"/>
      <c r="K16" s="59">
        <v>16015.4</v>
      </c>
      <c r="L16" s="59">
        <v>4237.5600000000004</v>
      </c>
      <c r="M16" s="59">
        <v>3.98</v>
      </c>
      <c r="N16" s="59"/>
      <c r="O16" s="59">
        <v>24426.91</v>
      </c>
      <c r="P16" s="59">
        <v>1690</v>
      </c>
      <c r="Q16" s="59">
        <v>28387.119999999999</v>
      </c>
      <c r="R16" s="59">
        <v>40861.54</v>
      </c>
      <c r="S16" s="60">
        <v>22315.81</v>
      </c>
      <c r="T16" s="61">
        <f>SUM(D16:S16)</f>
        <v>292951.95</v>
      </c>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row>
    <row r="17" spans="1:60" s="56" customFormat="1" x14ac:dyDescent="0.25">
      <c r="A17" s="31" t="s">
        <v>21</v>
      </c>
      <c r="B17" s="57">
        <v>44795</v>
      </c>
      <c r="C17" s="58">
        <v>33</v>
      </c>
      <c r="D17" s="59">
        <v>1610.25</v>
      </c>
      <c r="E17" s="59">
        <v>1069.01</v>
      </c>
      <c r="F17" s="59">
        <v>5696.66</v>
      </c>
      <c r="G17" s="59">
        <v>1028.3499999999999</v>
      </c>
      <c r="H17" s="59">
        <v>338.35</v>
      </c>
      <c r="I17" s="59">
        <v>987.83</v>
      </c>
      <c r="J17" s="59">
        <v>0</v>
      </c>
      <c r="K17" s="59">
        <v>153.97999999999999</v>
      </c>
      <c r="L17" s="59"/>
      <c r="M17" s="59">
        <v>1028.3499999999999</v>
      </c>
      <c r="N17" s="59">
        <v>1217.8</v>
      </c>
      <c r="O17" s="59">
        <v>1753.79</v>
      </c>
      <c r="P17" s="59">
        <v>66</v>
      </c>
      <c r="Q17" s="59"/>
      <c r="R17" s="59">
        <v>2626.16</v>
      </c>
      <c r="S17" s="60">
        <v>1643.03</v>
      </c>
      <c r="T17" s="61">
        <f>SUM(D17:S17)</f>
        <v>19219.559999999998</v>
      </c>
      <c r="U17" s="60"/>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row>
    <row r="18" spans="1:60" s="56" customFormat="1" x14ac:dyDescent="0.25">
      <c r="A18" s="31" t="s">
        <v>22</v>
      </c>
      <c r="B18" s="57">
        <v>44788</v>
      </c>
      <c r="C18" s="58"/>
      <c r="D18" s="59"/>
      <c r="E18" s="59"/>
      <c r="F18" s="59"/>
      <c r="G18" s="59"/>
      <c r="H18" s="59"/>
      <c r="I18" s="59"/>
      <c r="J18" s="59"/>
      <c r="K18" s="59"/>
      <c r="L18" s="59"/>
      <c r="M18" s="59"/>
      <c r="N18" s="59"/>
      <c r="O18" s="59"/>
      <c r="P18" s="59"/>
      <c r="Q18" s="59"/>
      <c r="R18" s="59"/>
      <c r="S18" s="60"/>
      <c r="T18" s="61"/>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row>
    <row r="19" spans="1:60" s="56" customFormat="1" x14ac:dyDescent="0.25">
      <c r="A19" s="31" t="s">
        <v>23</v>
      </c>
      <c r="B19" s="57">
        <v>44789</v>
      </c>
      <c r="C19" s="58">
        <v>151</v>
      </c>
      <c r="D19" s="59">
        <v>11752.3</v>
      </c>
      <c r="E19" s="59">
        <v>13823.6</v>
      </c>
      <c r="F19" s="59">
        <v>39708.449999999997</v>
      </c>
      <c r="G19" s="59">
        <v>5727.49</v>
      </c>
      <c r="H19" s="59">
        <v>2765.12</v>
      </c>
      <c r="I19" s="59">
        <v>1777.29</v>
      </c>
      <c r="J19" s="59">
        <v>0</v>
      </c>
      <c r="K19" s="59">
        <v>5948.81</v>
      </c>
      <c r="L19" s="59"/>
      <c r="M19" s="59">
        <v>493.95</v>
      </c>
      <c r="N19" s="59">
        <v>0</v>
      </c>
      <c r="O19" s="59">
        <v>10391.02</v>
      </c>
      <c r="P19" s="59">
        <v>284.33999999999997</v>
      </c>
      <c r="Q19" s="59"/>
      <c r="R19" s="59">
        <v>16399.41</v>
      </c>
      <c r="S19" s="60">
        <v>12318.2</v>
      </c>
      <c r="T19" s="61">
        <f>SUM(D19:S19)</f>
        <v>121389.97999999998</v>
      </c>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row>
    <row r="20" spans="1:60" s="56" customFormat="1" x14ac:dyDescent="0.25">
      <c r="A20" s="31" t="s">
        <v>24</v>
      </c>
      <c r="B20" s="57">
        <v>44783</v>
      </c>
      <c r="C20" s="58">
        <v>128</v>
      </c>
      <c r="D20" s="59">
        <v>14910.27</v>
      </c>
      <c r="E20" s="59">
        <v>22177.42</v>
      </c>
      <c r="F20" s="59">
        <v>49474.36</v>
      </c>
      <c r="G20" s="59">
        <v>9271.9500000000007</v>
      </c>
      <c r="H20" s="59">
        <v>3007.13</v>
      </c>
      <c r="I20" s="59">
        <v>2505.92</v>
      </c>
      <c r="J20" s="59">
        <v>0</v>
      </c>
      <c r="K20" s="59">
        <v>8744.99</v>
      </c>
      <c r="L20" s="59">
        <v>0</v>
      </c>
      <c r="M20" s="59">
        <v>375</v>
      </c>
      <c r="N20" s="59">
        <v>0</v>
      </c>
      <c r="O20" s="59">
        <v>15506.67</v>
      </c>
      <c r="P20" s="59">
        <v>3840</v>
      </c>
      <c r="Q20" s="59">
        <v>17897.98</v>
      </c>
      <c r="R20" s="59">
        <v>25929.17</v>
      </c>
      <c r="S20" s="60">
        <v>14756.65</v>
      </c>
      <c r="T20" s="61">
        <f>SUM(D20:S20)</f>
        <v>188397.50999999998</v>
      </c>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row>
    <row r="21" spans="1:60" s="56" customFormat="1" x14ac:dyDescent="0.25">
      <c r="A21" s="31" t="s">
        <v>25</v>
      </c>
      <c r="B21" s="57">
        <v>44798</v>
      </c>
      <c r="C21" s="58">
        <v>27</v>
      </c>
      <c r="D21" s="59">
        <v>137.24</v>
      </c>
      <c r="E21" s="59">
        <v>223.82</v>
      </c>
      <c r="F21" s="59">
        <v>631.39</v>
      </c>
      <c r="G21" s="59">
        <v>0</v>
      </c>
      <c r="H21" s="59">
        <v>36.18</v>
      </c>
      <c r="I21" s="59">
        <v>89.1</v>
      </c>
      <c r="J21" s="59">
        <v>0</v>
      </c>
      <c r="K21" s="59" t="s">
        <v>172</v>
      </c>
      <c r="L21" s="59">
        <v>0</v>
      </c>
      <c r="M21" s="59">
        <v>22.73</v>
      </c>
      <c r="N21" s="59">
        <v>96.41</v>
      </c>
      <c r="O21" s="59">
        <v>191.9</v>
      </c>
      <c r="P21" s="59">
        <v>662.3</v>
      </c>
      <c r="Q21" s="59">
        <v>710.25</v>
      </c>
      <c r="R21" s="59">
        <v>409.43</v>
      </c>
      <c r="S21" s="60">
        <v>599.71</v>
      </c>
      <c r="T21" s="61">
        <f>SUM(D21:S21)</f>
        <v>3810.46</v>
      </c>
      <c r="U21" s="60"/>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row>
    <row r="22" spans="1:60" s="56" customFormat="1" x14ac:dyDescent="0.25">
      <c r="A22" s="31" t="s">
        <v>26</v>
      </c>
      <c r="B22" s="57">
        <v>44781</v>
      </c>
      <c r="C22" s="58">
        <v>26</v>
      </c>
      <c r="D22" s="59">
        <v>2965.37</v>
      </c>
      <c r="E22" s="59">
        <v>797.41</v>
      </c>
      <c r="F22" s="59">
        <v>15574.38</v>
      </c>
      <c r="G22" s="59">
        <v>2766.01</v>
      </c>
      <c r="H22" s="59">
        <v>1345.62</v>
      </c>
      <c r="I22" s="59">
        <v>1196.1099999999999</v>
      </c>
      <c r="J22" s="59">
        <v>0</v>
      </c>
      <c r="K22" s="59">
        <v>217</v>
      </c>
      <c r="L22" s="59">
        <v>2599.3000000000002</v>
      </c>
      <c r="M22" s="59">
        <v>1.44</v>
      </c>
      <c r="N22" s="59">
        <v>0</v>
      </c>
      <c r="O22" s="59">
        <v>4082.84</v>
      </c>
      <c r="P22" s="59">
        <v>286</v>
      </c>
      <c r="Q22" s="59">
        <v>4460.84</v>
      </c>
      <c r="R22" s="59">
        <v>6384.67</v>
      </c>
      <c r="S22" s="60">
        <v>3582.36</v>
      </c>
      <c r="T22" s="61">
        <f>SUM(D22:S22)</f>
        <v>46259.349999999991</v>
      </c>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row>
    <row r="23" spans="1:60" s="56" customFormat="1" x14ac:dyDescent="0.25">
      <c r="A23" s="31" t="s">
        <v>27</v>
      </c>
      <c r="B23" s="57">
        <v>44799</v>
      </c>
      <c r="C23" s="58">
        <v>91</v>
      </c>
      <c r="D23" s="59"/>
      <c r="E23" s="59"/>
      <c r="F23" s="59"/>
      <c r="G23" s="59"/>
      <c r="H23" s="59"/>
      <c r="I23" s="59"/>
      <c r="J23" s="59"/>
      <c r="K23" s="59"/>
      <c r="L23" s="59"/>
      <c r="M23" s="59"/>
      <c r="N23" s="59" t="s">
        <v>174</v>
      </c>
      <c r="O23" s="59"/>
      <c r="P23" s="59"/>
      <c r="Q23" s="59"/>
      <c r="R23" s="59"/>
      <c r="S23" s="60"/>
      <c r="T23" s="61"/>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row>
    <row r="24" spans="1:60" s="56" customFormat="1" x14ac:dyDescent="0.25">
      <c r="A24" s="31" t="s">
        <v>28</v>
      </c>
      <c r="B24" s="57">
        <v>44803</v>
      </c>
      <c r="C24" s="58">
        <v>32</v>
      </c>
      <c r="D24" s="59">
        <v>2456.0300000000002</v>
      </c>
      <c r="E24" s="59">
        <v>1400.14</v>
      </c>
      <c r="F24" s="59">
        <v>10360.77</v>
      </c>
      <c r="G24" s="59">
        <v>1857.51</v>
      </c>
      <c r="H24" s="59">
        <v>763.63</v>
      </c>
      <c r="I24" s="59">
        <v>392.13</v>
      </c>
      <c r="J24" s="59">
        <v>1258.97</v>
      </c>
      <c r="K24" s="59">
        <v>0</v>
      </c>
      <c r="L24" s="59"/>
      <c r="M24" s="59">
        <v>495.34</v>
      </c>
      <c r="N24" s="59">
        <v>1176.4000000000001</v>
      </c>
      <c r="O24" s="59">
        <v>2690.61</v>
      </c>
      <c r="P24" s="59">
        <v>0</v>
      </c>
      <c r="Q24" s="59">
        <v>0</v>
      </c>
      <c r="R24" s="59">
        <v>4032.2</v>
      </c>
      <c r="S24" s="60">
        <v>2336.09</v>
      </c>
      <c r="T24" s="61">
        <f>SUM(D24:S24)</f>
        <v>29219.820000000007</v>
      </c>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row>
    <row r="25" spans="1:60" s="56" customFormat="1" x14ac:dyDescent="0.25">
      <c r="A25" s="31" t="s">
        <v>29</v>
      </c>
      <c r="B25" s="57">
        <v>44796</v>
      </c>
      <c r="C25" s="58">
        <v>116</v>
      </c>
      <c r="D25" s="59">
        <v>10416.35</v>
      </c>
      <c r="E25" s="59">
        <v>16281.14</v>
      </c>
      <c r="F25" s="59">
        <v>37026.46</v>
      </c>
      <c r="G25" s="59"/>
      <c r="H25" s="59">
        <v>3256.05</v>
      </c>
      <c r="I25" s="59">
        <v>2442.0700000000002</v>
      </c>
      <c r="J25" s="59">
        <v>0</v>
      </c>
      <c r="K25" s="59">
        <v>2890</v>
      </c>
      <c r="L25" s="59" t="s">
        <v>172</v>
      </c>
      <c r="M25" s="59">
        <v>407.02</v>
      </c>
      <c r="N25" s="59"/>
      <c r="O25" s="59">
        <v>10787.18</v>
      </c>
      <c r="P25" s="59">
        <v>220</v>
      </c>
      <c r="Q25" s="59">
        <v>10062.049999999999</v>
      </c>
      <c r="R25" s="59">
        <v>16826.25</v>
      </c>
      <c r="S25" s="60">
        <v>10402.11</v>
      </c>
      <c r="T25" s="61">
        <f t="shared" ref="T25:T31" si="1">SUM(D25:S25)</f>
        <v>121016.68000000002</v>
      </c>
      <c r="U25" s="62"/>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row>
    <row r="26" spans="1:60" s="56" customFormat="1" x14ac:dyDescent="0.25">
      <c r="A26" s="31" t="s">
        <v>30</v>
      </c>
      <c r="B26" s="57">
        <v>44777</v>
      </c>
      <c r="C26" s="58">
        <v>126</v>
      </c>
      <c r="D26" s="59">
        <v>8236.26</v>
      </c>
      <c r="E26" s="59">
        <v>5773.04</v>
      </c>
      <c r="F26" s="59">
        <v>45082.5</v>
      </c>
      <c r="G26" s="59">
        <v>3921.87</v>
      </c>
      <c r="H26" s="59">
        <v>3200.45</v>
      </c>
      <c r="I26" s="59">
        <v>2203.66</v>
      </c>
      <c r="J26" s="59">
        <v>0</v>
      </c>
      <c r="K26" s="59">
        <v>0</v>
      </c>
      <c r="L26" s="59">
        <v>0</v>
      </c>
      <c r="M26" s="59">
        <v>0</v>
      </c>
      <c r="N26" s="59">
        <v>0</v>
      </c>
      <c r="O26" s="59">
        <v>9619.35</v>
      </c>
      <c r="P26" s="59">
        <v>1007</v>
      </c>
      <c r="Q26" s="59">
        <v>12327.54</v>
      </c>
      <c r="R26" s="59">
        <v>15381.18</v>
      </c>
      <c r="S26" s="60">
        <v>9213.0300000000007</v>
      </c>
      <c r="T26" s="61">
        <f t="shared" si="1"/>
        <v>115965.88</v>
      </c>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row>
    <row r="27" spans="1:60" x14ac:dyDescent="0.25">
      <c r="A27" s="31" t="s">
        <v>31</v>
      </c>
      <c r="B27" s="57">
        <v>44818</v>
      </c>
      <c r="C27" s="58">
        <v>59</v>
      </c>
      <c r="D27" s="59">
        <v>3691.23</v>
      </c>
      <c r="E27" s="59">
        <v>4949.8100000000004</v>
      </c>
      <c r="F27" s="59">
        <v>20348.54</v>
      </c>
      <c r="G27" s="59">
        <v>3486.36</v>
      </c>
      <c r="H27" s="59">
        <v>2171.34</v>
      </c>
      <c r="I27" s="59">
        <v>3163.94</v>
      </c>
      <c r="J27" s="59"/>
      <c r="K27" s="59">
        <v>32.54</v>
      </c>
      <c r="L27" s="59"/>
      <c r="M27" s="59">
        <v>496.31</v>
      </c>
      <c r="N27" s="59">
        <v>0</v>
      </c>
      <c r="O27" s="59">
        <v>4882.3599999999997</v>
      </c>
      <c r="P27" s="59">
        <v>118</v>
      </c>
      <c r="Q27" s="59"/>
      <c r="R27" s="59">
        <v>7391</v>
      </c>
      <c r="S27" s="60">
        <v>4580.53</v>
      </c>
      <c r="T27" s="61">
        <f t="shared" si="1"/>
        <v>55311.96</v>
      </c>
      <c r="BF27" s="28">
        <v>0</v>
      </c>
    </row>
    <row r="28" spans="1:60" s="56" customFormat="1" x14ac:dyDescent="0.25">
      <c r="A28" s="31" t="s">
        <v>32</v>
      </c>
      <c r="B28" s="57">
        <v>44817</v>
      </c>
      <c r="C28" s="58">
        <v>24</v>
      </c>
      <c r="D28" s="59">
        <v>1352.2</v>
      </c>
      <c r="E28" s="59">
        <v>738.57</v>
      </c>
      <c r="F28" s="59">
        <v>5192.87</v>
      </c>
      <c r="G28" s="59">
        <v>556.79</v>
      </c>
      <c r="H28" s="59">
        <v>397.73</v>
      </c>
      <c r="I28" s="59">
        <v>1034.02</v>
      </c>
      <c r="J28" s="59">
        <v>0</v>
      </c>
      <c r="K28" s="59">
        <v>21.16</v>
      </c>
      <c r="L28" s="59"/>
      <c r="M28" s="59">
        <v>206.82</v>
      </c>
      <c r="N28" s="59">
        <v>0</v>
      </c>
      <c r="O28" s="59">
        <v>1254.9100000000001</v>
      </c>
      <c r="P28" s="59">
        <v>24</v>
      </c>
      <c r="Q28" s="59">
        <v>0</v>
      </c>
      <c r="R28" s="59">
        <v>1900.01</v>
      </c>
      <c r="S28" s="60">
        <v>1189.99</v>
      </c>
      <c r="T28" s="61">
        <f t="shared" si="1"/>
        <v>13869.07</v>
      </c>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row>
    <row r="29" spans="1:60" s="56" customFormat="1" x14ac:dyDescent="0.25">
      <c r="A29" s="31" t="s">
        <v>33</v>
      </c>
      <c r="B29" s="57">
        <v>44784</v>
      </c>
      <c r="C29" s="58">
        <v>28</v>
      </c>
      <c r="D29" s="59">
        <v>1583.68</v>
      </c>
      <c r="E29" s="59">
        <v>1547.24</v>
      </c>
      <c r="F29" s="59">
        <v>6507.76</v>
      </c>
      <c r="G29" s="59">
        <v>665.41</v>
      </c>
      <c r="H29" s="59">
        <v>399.25</v>
      </c>
      <c r="I29" s="59">
        <v>532.33000000000004</v>
      </c>
      <c r="J29" s="59"/>
      <c r="K29" s="59">
        <v>423.48</v>
      </c>
      <c r="L29" s="59">
        <v>1543.76</v>
      </c>
      <c r="M29" s="59"/>
      <c r="N29" s="59"/>
      <c r="O29" s="59"/>
      <c r="P29" s="59">
        <v>56</v>
      </c>
      <c r="Q29" s="59">
        <v>1896.6</v>
      </c>
      <c r="R29" s="59">
        <v>2766.47</v>
      </c>
      <c r="S29" s="60">
        <v>2475.2399999999998</v>
      </c>
      <c r="T29" s="61">
        <f t="shared" si="1"/>
        <v>20397.22</v>
      </c>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row>
    <row r="30" spans="1:60" s="64" customFormat="1" x14ac:dyDescent="0.25">
      <c r="A30" s="77" t="s">
        <v>34</v>
      </c>
      <c r="B30" s="80">
        <v>44764</v>
      </c>
      <c r="C30" s="58">
        <v>27</v>
      </c>
      <c r="D30" s="81">
        <v>1522.45</v>
      </c>
      <c r="E30" s="81">
        <v>740.55</v>
      </c>
      <c r="F30" s="81">
        <v>524.54999999999995</v>
      </c>
      <c r="G30" s="81">
        <v>933.95</v>
      </c>
      <c r="H30" s="81">
        <v>447.76</v>
      </c>
      <c r="I30" s="81">
        <v>845.69</v>
      </c>
      <c r="J30" s="81">
        <v>0</v>
      </c>
      <c r="K30" s="81">
        <v>9.75</v>
      </c>
      <c r="L30" s="81"/>
      <c r="M30" s="81">
        <v>307.06</v>
      </c>
      <c r="N30" s="81">
        <v>729.25</v>
      </c>
      <c r="O30" s="81">
        <v>1449.61</v>
      </c>
      <c r="P30" s="81"/>
      <c r="Q30" s="81"/>
      <c r="R30" s="81">
        <v>2149.0100000000002</v>
      </c>
      <c r="S30" s="82">
        <v>1479.49</v>
      </c>
      <c r="T30" s="61">
        <f t="shared" si="1"/>
        <v>11139.12</v>
      </c>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row>
    <row r="31" spans="1:60" s="56" customFormat="1" x14ac:dyDescent="0.25">
      <c r="A31" s="31" t="s">
        <v>35</v>
      </c>
      <c r="B31" s="57" t="s">
        <v>168</v>
      </c>
      <c r="C31" s="58">
        <v>299</v>
      </c>
      <c r="D31" s="59">
        <v>9584.17</v>
      </c>
      <c r="E31" s="59">
        <v>10792.25</v>
      </c>
      <c r="F31" s="59">
        <v>41571.269999999997</v>
      </c>
      <c r="G31" s="59">
        <v>4993.46</v>
      </c>
      <c r="H31" s="59">
        <v>3221.56</v>
      </c>
      <c r="I31" s="59">
        <v>691.85</v>
      </c>
      <c r="J31" s="59">
        <v>0</v>
      </c>
      <c r="K31" s="59">
        <v>885</v>
      </c>
      <c r="L31" s="59">
        <v>82.29</v>
      </c>
      <c r="M31" s="59">
        <v>0</v>
      </c>
      <c r="N31" s="59">
        <v>0</v>
      </c>
      <c r="O31" s="59">
        <v>9973.85</v>
      </c>
      <c r="P31" s="59">
        <v>2525.25</v>
      </c>
      <c r="Q31" s="59">
        <v>11631.11</v>
      </c>
      <c r="R31" s="59">
        <v>16872.64</v>
      </c>
      <c r="S31" s="60">
        <v>9710.26</v>
      </c>
      <c r="T31" s="61">
        <f t="shared" si="1"/>
        <v>122534.95999999999</v>
      </c>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row>
    <row r="32" spans="1:60" s="56" customFormat="1" x14ac:dyDescent="0.25">
      <c r="A32" s="31" t="s">
        <v>36</v>
      </c>
      <c r="B32" s="57">
        <v>44817</v>
      </c>
      <c r="C32" s="58"/>
      <c r="D32" s="59"/>
      <c r="E32" s="59"/>
      <c r="F32" s="59"/>
      <c r="G32" s="59"/>
      <c r="H32" s="59"/>
      <c r="I32" s="59"/>
      <c r="J32" s="59"/>
      <c r="K32" s="59"/>
      <c r="L32" s="59"/>
      <c r="M32" s="59"/>
      <c r="N32" s="59"/>
      <c r="O32" s="59"/>
      <c r="P32" s="59"/>
      <c r="Q32" s="59"/>
      <c r="R32" s="59"/>
      <c r="S32" s="60"/>
      <c r="T32" s="61"/>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row>
    <row r="33" spans="1:60" s="56" customFormat="1" x14ac:dyDescent="0.25">
      <c r="A33" s="31" t="s">
        <v>37</v>
      </c>
      <c r="B33" s="57">
        <v>44803</v>
      </c>
      <c r="C33" s="58"/>
      <c r="D33" s="59"/>
      <c r="E33" s="59"/>
      <c r="F33" s="59"/>
      <c r="G33" s="59"/>
      <c r="H33" s="59"/>
      <c r="I33" s="59"/>
      <c r="J33" s="59"/>
      <c r="K33" s="59"/>
      <c r="L33" s="59"/>
      <c r="M33" s="59"/>
      <c r="N33" s="59"/>
      <c r="O33" s="59"/>
      <c r="P33" s="59"/>
      <c r="Q33" s="59"/>
      <c r="R33" s="59"/>
      <c r="S33" s="60"/>
      <c r="T33" s="61"/>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row>
    <row r="34" spans="1:60" s="56" customFormat="1" x14ac:dyDescent="0.25">
      <c r="A34" s="31" t="s">
        <v>38</v>
      </c>
      <c r="B34" s="57">
        <v>44799</v>
      </c>
      <c r="C34" s="58">
        <v>44</v>
      </c>
      <c r="D34" s="59">
        <v>2472.75</v>
      </c>
      <c r="E34" s="59">
        <v>1828.59</v>
      </c>
      <c r="F34" s="59">
        <v>10618.33</v>
      </c>
      <c r="G34" s="59">
        <v>2659.77</v>
      </c>
      <c r="H34" s="59">
        <v>1662.36</v>
      </c>
      <c r="I34" s="59">
        <v>1412.99</v>
      </c>
      <c r="J34" s="59">
        <v>0</v>
      </c>
      <c r="K34" s="59">
        <v>27.63</v>
      </c>
      <c r="L34" s="59">
        <v>75.739999999999995</v>
      </c>
      <c r="M34" s="59">
        <v>311.69</v>
      </c>
      <c r="N34" s="59">
        <v>2077.9499999999998</v>
      </c>
      <c r="O34" s="59">
        <v>3564.33</v>
      </c>
      <c r="P34" s="59">
        <v>220</v>
      </c>
      <c r="Q34" s="59">
        <v>3766.1</v>
      </c>
      <c r="R34" s="59">
        <v>5426.6</v>
      </c>
      <c r="S34" s="60">
        <v>3351.41</v>
      </c>
      <c r="T34" s="61">
        <f>SUM(D34:S34)</f>
        <v>39476.240000000005</v>
      </c>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row>
    <row r="35" spans="1:60" s="56" customFormat="1" x14ac:dyDescent="0.25">
      <c r="A35" s="31" t="s">
        <v>39</v>
      </c>
      <c r="B35" s="57">
        <v>44764</v>
      </c>
      <c r="C35" s="58">
        <v>218</v>
      </c>
      <c r="D35" s="59">
        <v>44161.35</v>
      </c>
      <c r="E35" s="59">
        <v>31971.16</v>
      </c>
      <c r="F35" s="59">
        <v>299850.42</v>
      </c>
      <c r="G35" s="59">
        <v>53951.14</v>
      </c>
      <c r="H35" s="59">
        <v>10390.959999999999</v>
      </c>
      <c r="I35" s="59">
        <v>1484.42</v>
      </c>
      <c r="J35" s="59">
        <v>0</v>
      </c>
      <c r="K35" s="59">
        <v>0</v>
      </c>
      <c r="L35" s="59">
        <v>24356.12</v>
      </c>
      <c r="M35" s="59">
        <v>222.68</v>
      </c>
      <c r="N35" s="59"/>
      <c r="O35" s="59">
        <v>61514.19</v>
      </c>
      <c r="P35" s="59">
        <v>8680</v>
      </c>
      <c r="Q35" s="59">
        <v>69619.259999999995</v>
      </c>
      <c r="R35" s="59">
        <v>107635.8</v>
      </c>
      <c r="S35" s="60">
        <v>56855.89</v>
      </c>
      <c r="T35" s="61">
        <f>SUM(D35:S35)</f>
        <v>770693.39</v>
      </c>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row>
    <row r="36" spans="1:60" s="56" customFormat="1" x14ac:dyDescent="0.25">
      <c r="A36" s="31" t="s">
        <v>40</v>
      </c>
      <c r="B36" s="57">
        <v>44792</v>
      </c>
      <c r="C36" s="58">
        <v>57</v>
      </c>
      <c r="D36" s="59">
        <v>2085.92</v>
      </c>
      <c r="E36" s="59">
        <v>2804.64</v>
      </c>
      <c r="F36" s="59">
        <v>8045.78</v>
      </c>
      <c r="G36" s="59">
        <v>1595.14</v>
      </c>
      <c r="H36" s="59">
        <v>876.45</v>
      </c>
      <c r="I36" s="59">
        <v>823.85</v>
      </c>
      <c r="J36" s="59"/>
      <c r="K36" s="59">
        <v>0</v>
      </c>
      <c r="L36" s="59">
        <v>83.65</v>
      </c>
      <c r="M36" s="59">
        <v>262.93</v>
      </c>
      <c r="N36" s="59">
        <v>1542.56</v>
      </c>
      <c r="O36" s="59">
        <v>2692.85</v>
      </c>
      <c r="P36" s="59">
        <v>1140</v>
      </c>
      <c r="Q36" s="59">
        <v>2938.41</v>
      </c>
      <c r="R36" s="59">
        <v>4211.8900000000003</v>
      </c>
      <c r="S36" s="60">
        <v>2960.9</v>
      </c>
      <c r="T36" s="61">
        <f>SUM(D36:S36)</f>
        <v>32064.97</v>
      </c>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row>
    <row r="37" spans="1:60" s="56" customFormat="1" x14ac:dyDescent="0.25">
      <c r="A37" s="31" t="s">
        <v>41</v>
      </c>
      <c r="B37" s="57">
        <v>44812</v>
      </c>
      <c r="C37" s="58">
        <v>215</v>
      </c>
      <c r="D37" s="59">
        <v>17046.27</v>
      </c>
      <c r="E37" s="59">
        <v>17331.86</v>
      </c>
      <c r="F37" s="59">
        <v>98836.02</v>
      </c>
      <c r="G37" s="59">
        <v>8880.66</v>
      </c>
      <c r="H37" s="59">
        <v>8594.39</v>
      </c>
      <c r="I37" s="59">
        <v>6442.5</v>
      </c>
      <c r="J37" s="59"/>
      <c r="K37" s="59"/>
      <c r="L37" s="59"/>
      <c r="M37" s="59">
        <v>2720.85</v>
      </c>
      <c r="N37" s="59">
        <v>12000.54</v>
      </c>
      <c r="O37" s="59">
        <v>21387.81</v>
      </c>
      <c r="P37" s="59">
        <v>1661.72</v>
      </c>
      <c r="Q37" s="59"/>
      <c r="R37" s="59">
        <v>34576.410000000003</v>
      </c>
      <c r="S37" s="60">
        <v>26335.24</v>
      </c>
      <c r="T37" s="61">
        <f>SUM(D37:S37)</f>
        <v>255814.27000000002</v>
      </c>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row>
    <row r="38" spans="1:60" s="56" customFormat="1" x14ac:dyDescent="0.25">
      <c r="A38" s="31" t="s">
        <v>42</v>
      </c>
      <c r="B38" s="57">
        <v>44762</v>
      </c>
      <c r="C38" s="58">
        <v>109</v>
      </c>
      <c r="D38" s="59">
        <v>12220.91</v>
      </c>
      <c r="E38" s="59">
        <v>18998.87</v>
      </c>
      <c r="F38" s="59">
        <v>50761.06</v>
      </c>
      <c r="G38" s="59">
        <v>8421.1200000000008</v>
      </c>
      <c r="H38" s="59">
        <v>7445.52</v>
      </c>
      <c r="I38" s="59">
        <v>1848.54</v>
      </c>
      <c r="J38" s="59">
        <v>0</v>
      </c>
      <c r="K38" s="59">
        <v>0</v>
      </c>
      <c r="L38" s="59">
        <v>924.26</v>
      </c>
      <c r="M38" s="59">
        <v>0</v>
      </c>
      <c r="N38" s="59"/>
      <c r="O38" s="59">
        <v>14794.99</v>
      </c>
      <c r="P38" s="59">
        <v>654</v>
      </c>
      <c r="Q38" s="59">
        <v>15081.14</v>
      </c>
      <c r="R38" s="59">
        <v>23358.25</v>
      </c>
      <c r="S38" s="60">
        <v>13205.09</v>
      </c>
      <c r="T38" s="61">
        <f>SUM(D38:S38)</f>
        <v>167713.74999999997</v>
      </c>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row>
    <row r="39" spans="1:60" s="56" customFormat="1" x14ac:dyDescent="0.25">
      <c r="A39" s="31" t="s">
        <v>43</v>
      </c>
      <c r="B39" s="57">
        <v>44789</v>
      </c>
      <c r="C39" s="58">
        <v>0</v>
      </c>
      <c r="D39" s="59">
        <v>0</v>
      </c>
      <c r="E39" s="59">
        <v>0</v>
      </c>
      <c r="F39" s="59">
        <v>0</v>
      </c>
      <c r="G39" s="59">
        <v>0</v>
      </c>
      <c r="H39" s="59">
        <v>0</v>
      </c>
      <c r="I39" s="59">
        <v>0</v>
      </c>
      <c r="J39" s="59">
        <v>0</v>
      </c>
      <c r="K39" s="59">
        <v>0</v>
      </c>
      <c r="L39" s="59">
        <v>0</v>
      </c>
      <c r="M39" s="59">
        <v>0</v>
      </c>
      <c r="N39" s="59">
        <v>0</v>
      </c>
      <c r="O39" s="59">
        <v>0</v>
      </c>
      <c r="P39" s="59">
        <v>0</v>
      </c>
      <c r="Q39" s="59">
        <v>0</v>
      </c>
      <c r="R39" s="59">
        <v>0</v>
      </c>
      <c r="S39" s="60">
        <v>0</v>
      </c>
      <c r="T39" s="61">
        <v>0</v>
      </c>
      <c r="U39" s="60">
        <v>0</v>
      </c>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row>
    <row r="40" spans="1:60" s="65" customFormat="1" x14ac:dyDescent="0.25">
      <c r="A40" s="31" t="s">
        <v>44</v>
      </c>
      <c r="B40" s="57">
        <v>44756</v>
      </c>
      <c r="C40" s="58">
        <v>18</v>
      </c>
      <c r="D40" s="59">
        <v>1917.62</v>
      </c>
      <c r="E40" s="59">
        <v>1632.11</v>
      </c>
      <c r="F40" s="59">
        <v>10457.67</v>
      </c>
      <c r="G40" s="59">
        <v>1756.4</v>
      </c>
      <c r="H40" s="59">
        <v>886.26</v>
      </c>
      <c r="I40" s="59">
        <v>870.14</v>
      </c>
      <c r="J40" s="59">
        <v>0</v>
      </c>
      <c r="K40" s="59">
        <v>427.17</v>
      </c>
      <c r="L40" s="59">
        <v>1978.29</v>
      </c>
      <c r="M40" s="59">
        <v>145.05000000000001</v>
      </c>
      <c r="N40" s="59">
        <v>0</v>
      </c>
      <c r="O40" s="59">
        <v>2665.39</v>
      </c>
      <c r="P40" s="59">
        <v>0</v>
      </c>
      <c r="Q40" s="59"/>
      <c r="R40" s="59">
        <v>4010.53</v>
      </c>
      <c r="S40" s="60">
        <v>2167.2600000000002</v>
      </c>
      <c r="T40" s="61">
        <f>SUM(D40:S40)</f>
        <v>28913.889999999992</v>
      </c>
      <c r="U40" s="28"/>
      <c r="V40" s="28"/>
      <c r="W40" s="28"/>
      <c r="X40" s="28"/>
      <c r="Y40" s="28"/>
      <c r="Z40" s="28"/>
      <c r="AA40" s="28"/>
      <c r="AB40" s="28"/>
    </row>
    <row r="41" spans="1:60" s="56" customFormat="1" x14ac:dyDescent="0.25">
      <c r="A41" s="31" t="s">
        <v>45</v>
      </c>
      <c r="B41" s="57">
        <v>44776</v>
      </c>
      <c r="C41" s="28"/>
      <c r="D41" s="28"/>
      <c r="E41" s="28"/>
      <c r="F41" s="28"/>
      <c r="G41" s="28"/>
      <c r="H41" s="28"/>
      <c r="I41" s="28"/>
      <c r="J41" s="28"/>
      <c r="K41" s="28"/>
      <c r="L41" s="28"/>
      <c r="M41" s="28"/>
      <c r="N41" s="28"/>
      <c r="O41" s="28"/>
      <c r="P41" s="28"/>
      <c r="Q41" s="28"/>
      <c r="R41" s="28"/>
      <c r="S41" s="28"/>
      <c r="T41" s="61"/>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row>
    <row r="42" spans="1:60" s="56" customFormat="1" x14ac:dyDescent="0.25">
      <c r="A42" s="31" t="s">
        <v>46</v>
      </c>
      <c r="B42" s="57">
        <v>44781</v>
      </c>
      <c r="C42" s="58">
        <v>63</v>
      </c>
      <c r="D42" s="59">
        <v>5032.71</v>
      </c>
      <c r="E42" s="59">
        <v>5201.8500000000004</v>
      </c>
      <c r="F42" s="59">
        <v>25523.02</v>
      </c>
      <c r="G42" s="59">
        <v>4355.97</v>
      </c>
      <c r="H42" s="59">
        <v>1141.9000000000001</v>
      </c>
      <c r="I42" s="59">
        <v>3298.63</v>
      </c>
      <c r="J42" s="59">
        <v>0</v>
      </c>
      <c r="K42" s="59">
        <v>1325</v>
      </c>
      <c r="L42" s="59">
        <v>686.75</v>
      </c>
      <c r="M42" s="59">
        <v>422.91</v>
      </c>
      <c r="N42" s="59">
        <v>0</v>
      </c>
      <c r="O42" s="59">
        <v>6874.69</v>
      </c>
      <c r="P42" s="59">
        <v>441</v>
      </c>
      <c r="Q42" s="59">
        <v>7633.09</v>
      </c>
      <c r="R42" s="59">
        <v>10926.34</v>
      </c>
      <c r="S42" s="60">
        <v>6407.15</v>
      </c>
      <c r="T42" s="61">
        <f>SUM(D42:S42)</f>
        <v>79271.009999999995</v>
      </c>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row>
    <row r="43" spans="1:60" s="56" customFormat="1" x14ac:dyDescent="0.25">
      <c r="A43" s="31" t="s">
        <v>47</v>
      </c>
      <c r="B43" s="57">
        <v>44831</v>
      </c>
      <c r="C43" s="58">
        <v>89</v>
      </c>
      <c r="D43" s="59">
        <v>4643.6499999999996</v>
      </c>
      <c r="E43" s="59">
        <v>3863.2</v>
      </c>
      <c r="F43" s="59">
        <v>14822.33</v>
      </c>
      <c r="G43" s="59">
        <v>2146.21</v>
      </c>
      <c r="H43" s="59">
        <v>1365.76</v>
      </c>
      <c r="I43" s="59">
        <v>1521.85</v>
      </c>
      <c r="J43" s="59"/>
      <c r="K43" s="59">
        <v>2647.9</v>
      </c>
      <c r="L43" s="59">
        <v>187.33</v>
      </c>
      <c r="M43" s="59">
        <v>819.5</v>
      </c>
      <c r="N43" s="59"/>
      <c r="O43" s="59">
        <v>4628.59</v>
      </c>
      <c r="P43" s="59">
        <v>534</v>
      </c>
      <c r="Q43" s="59">
        <v>5194.1499999999996</v>
      </c>
      <c r="R43" s="59">
        <v>7620.36</v>
      </c>
      <c r="S43" s="60">
        <v>5056.17</v>
      </c>
      <c r="T43" s="61">
        <f>SUM(D43:S43)</f>
        <v>55051</v>
      </c>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row>
    <row r="44" spans="1:60" s="56" customFormat="1" x14ac:dyDescent="0.25">
      <c r="A44" s="31" t="s">
        <v>48</v>
      </c>
      <c r="B44" s="57">
        <v>44761</v>
      </c>
      <c r="C44" s="58">
        <v>39</v>
      </c>
      <c r="D44" s="59">
        <v>4377.07</v>
      </c>
      <c r="E44" s="59">
        <v>2464.4499999999998</v>
      </c>
      <c r="F44" s="59">
        <v>19347.53</v>
      </c>
      <c r="G44" s="59">
        <v>0</v>
      </c>
      <c r="H44" s="59">
        <v>0</v>
      </c>
      <c r="I44" s="59">
        <v>2059.81</v>
      </c>
      <c r="J44" s="59">
        <v>1618.43</v>
      </c>
      <c r="K44" s="59">
        <v>4703.05</v>
      </c>
      <c r="L44" s="59">
        <v>3420.67</v>
      </c>
      <c r="M44" s="59">
        <v>354.51</v>
      </c>
      <c r="N44" s="59"/>
      <c r="O44" s="59">
        <v>4703.05</v>
      </c>
      <c r="P44" s="59">
        <v>355</v>
      </c>
      <c r="Q44" s="59">
        <v>85.24</v>
      </c>
      <c r="R44" s="59">
        <v>7628.12</v>
      </c>
      <c r="S44" s="60">
        <v>4808.1000000000004</v>
      </c>
      <c r="T44" s="61">
        <f>SUM(D44:S44)</f>
        <v>55925.030000000006</v>
      </c>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row>
    <row r="45" spans="1:60" s="66" customFormat="1" x14ac:dyDescent="0.25">
      <c r="A45" s="31" t="s">
        <v>49</v>
      </c>
      <c r="B45" s="57">
        <v>44833</v>
      </c>
      <c r="C45" s="58"/>
      <c r="D45" s="59"/>
      <c r="E45" s="59"/>
      <c r="F45" s="59"/>
      <c r="G45" s="59"/>
      <c r="H45" s="59"/>
      <c r="I45" s="59"/>
      <c r="J45" s="59"/>
      <c r="K45" s="59"/>
      <c r="L45" s="59"/>
      <c r="M45" s="59"/>
      <c r="N45" s="59"/>
      <c r="O45" s="59"/>
      <c r="P45" s="59"/>
      <c r="Q45" s="59"/>
      <c r="R45" s="59"/>
      <c r="S45" s="60"/>
      <c r="T45" s="61"/>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row>
    <row r="46" spans="1:60" s="56" customFormat="1" x14ac:dyDescent="0.25">
      <c r="A46" s="31" t="s">
        <v>50</v>
      </c>
      <c r="B46" s="57">
        <v>44791</v>
      </c>
      <c r="C46" s="58">
        <v>159</v>
      </c>
      <c r="D46" s="59">
        <v>12043.7</v>
      </c>
      <c r="E46" s="59">
        <v>32386.48</v>
      </c>
      <c r="F46" s="59">
        <v>86553.74</v>
      </c>
      <c r="G46" s="59">
        <v>8906.24</v>
      </c>
      <c r="H46" s="59">
        <v>8096.62</v>
      </c>
      <c r="I46" s="59">
        <v>2327.81</v>
      </c>
      <c r="J46" s="59">
        <v>0</v>
      </c>
      <c r="K46" s="59">
        <v>3987.48</v>
      </c>
      <c r="L46" s="59">
        <v>4283.0600000000004</v>
      </c>
      <c r="M46" s="59">
        <v>21.16</v>
      </c>
      <c r="N46" s="59">
        <v>6331.09</v>
      </c>
      <c r="O46" s="59">
        <v>23976.44</v>
      </c>
      <c r="P46" s="59">
        <v>2004</v>
      </c>
      <c r="Q46" s="59">
        <v>26763.99</v>
      </c>
      <c r="R46" s="59">
        <v>38518.239999999998</v>
      </c>
      <c r="S46" s="60">
        <v>21555</v>
      </c>
      <c r="T46" s="61">
        <f>SUM(D46:S46)</f>
        <v>277755.05</v>
      </c>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row>
    <row r="47" spans="1:60" s="56" customFormat="1" x14ac:dyDescent="0.25">
      <c r="A47" s="31" t="s">
        <v>51</v>
      </c>
      <c r="B47" s="80">
        <v>44825</v>
      </c>
      <c r="C47" s="58">
        <v>7</v>
      </c>
      <c r="D47" s="59">
        <v>647.25</v>
      </c>
      <c r="E47" s="59">
        <v>228.44</v>
      </c>
      <c r="F47" s="59">
        <v>3965.04</v>
      </c>
      <c r="G47" s="59">
        <v>625.49</v>
      </c>
      <c r="H47" s="59">
        <v>231.15</v>
      </c>
      <c r="I47" s="59">
        <v>0</v>
      </c>
      <c r="J47" s="59">
        <v>0</v>
      </c>
      <c r="K47" s="59">
        <v>0</v>
      </c>
      <c r="L47" s="59">
        <v>0.45</v>
      </c>
      <c r="M47" s="59">
        <v>0</v>
      </c>
      <c r="N47" s="59">
        <v>0</v>
      </c>
      <c r="O47" s="59">
        <v>773.19</v>
      </c>
      <c r="P47" s="59">
        <v>98</v>
      </c>
      <c r="Q47" s="59">
        <v>992.25</v>
      </c>
      <c r="R47" s="59">
        <v>1338.01</v>
      </c>
      <c r="S47" s="60">
        <v>774.02</v>
      </c>
      <c r="T47" s="61">
        <f>SUM(D47:S47)</f>
        <v>9673.2899999999991</v>
      </c>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row>
    <row r="48" spans="1:60" s="56" customFormat="1" x14ac:dyDescent="0.25">
      <c r="A48" s="31" t="s">
        <v>52</v>
      </c>
      <c r="B48" s="57">
        <v>44781</v>
      </c>
      <c r="C48" s="58">
        <v>217</v>
      </c>
      <c r="D48" s="59">
        <v>19232.82</v>
      </c>
      <c r="E48" s="59">
        <v>22028.31</v>
      </c>
      <c r="F48" s="59">
        <v>108000.47</v>
      </c>
      <c r="G48" s="59">
        <v>0</v>
      </c>
      <c r="H48" s="59">
        <v>3555.67</v>
      </c>
      <c r="I48" s="59">
        <v>2909.11</v>
      </c>
      <c r="J48" s="59">
        <v>0</v>
      </c>
      <c r="K48" s="59">
        <v>7987.31</v>
      </c>
      <c r="L48" s="59"/>
      <c r="M48" s="59"/>
      <c r="N48" s="59"/>
      <c r="O48" s="59">
        <v>18871.669999999998</v>
      </c>
      <c r="P48" s="59"/>
      <c r="Q48" s="59"/>
      <c r="R48" s="59">
        <v>32699.32</v>
      </c>
      <c r="S48" s="60">
        <v>19387.73</v>
      </c>
      <c r="T48" s="61">
        <f>SUM(D48:S48)</f>
        <v>234672.41</v>
      </c>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row>
    <row r="49" spans="1:60" s="67" customFormat="1" x14ac:dyDescent="0.25">
      <c r="A49" s="31" t="s">
        <v>53</v>
      </c>
      <c r="B49" s="57">
        <v>44769</v>
      </c>
      <c r="C49" s="58">
        <v>175</v>
      </c>
      <c r="D49" s="59">
        <v>8789.1299999999992</v>
      </c>
      <c r="E49" s="59">
        <v>30651.06</v>
      </c>
      <c r="F49" s="59">
        <v>51026.3</v>
      </c>
      <c r="G49" s="59">
        <v>7385.79</v>
      </c>
      <c r="H49" s="59">
        <v>4062.19</v>
      </c>
      <c r="I49" s="59">
        <v>7385.79</v>
      </c>
      <c r="J49" s="59"/>
      <c r="K49" s="59"/>
      <c r="L49" s="59">
        <v>6646.08</v>
      </c>
      <c r="M49" s="59">
        <v>1255.57</v>
      </c>
      <c r="N49" s="59"/>
      <c r="O49" s="59">
        <v>15117.57</v>
      </c>
      <c r="P49" s="59">
        <v>1890</v>
      </c>
      <c r="Q49" s="59">
        <v>17259.14</v>
      </c>
      <c r="R49" s="59">
        <v>22511.97</v>
      </c>
      <c r="S49" s="60">
        <v>15874.87</v>
      </c>
      <c r="T49" s="61">
        <f>SUM(D49:S49)</f>
        <v>189855.46</v>
      </c>
      <c r="U49" s="28"/>
      <c r="V49" s="28"/>
      <c r="W49" s="28"/>
      <c r="X49" s="28"/>
      <c r="Y49" s="28"/>
      <c r="Z49" s="28"/>
      <c r="AA49" s="28"/>
      <c r="AB49" s="28"/>
      <c r="AC49" s="28"/>
      <c r="AD49" s="28"/>
      <c r="AE49" s="28"/>
      <c r="AF49" s="28"/>
      <c r="AG49" s="28"/>
    </row>
    <row r="50" spans="1:60" s="56" customFormat="1" x14ac:dyDescent="0.25">
      <c r="A50" s="31" t="s">
        <v>54</v>
      </c>
      <c r="B50" s="57">
        <v>44812</v>
      </c>
      <c r="C50" s="58"/>
      <c r="D50" s="59"/>
      <c r="E50" s="59"/>
      <c r="F50" s="59"/>
      <c r="G50" s="59"/>
      <c r="H50" s="59"/>
      <c r="I50" s="59"/>
      <c r="J50" s="59"/>
      <c r="K50" s="59"/>
      <c r="L50" s="59"/>
      <c r="M50" s="59"/>
      <c r="N50" s="59"/>
      <c r="O50" s="59"/>
      <c r="P50" s="59"/>
      <c r="Q50" s="59"/>
      <c r="R50" s="59"/>
      <c r="S50" s="60"/>
      <c r="T50" s="61"/>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row>
    <row r="51" spans="1:60" s="56" customFormat="1" x14ac:dyDescent="0.25">
      <c r="A51" s="31" t="s">
        <v>173</v>
      </c>
      <c r="B51" s="57">
        <v>44825</v>
      </c>
      <c r="C51" s="58">
        <v>23</v>
      </c>
      <c r="D51" s="59">
        <v>663.62</v>
      </c>
      <c r="E51" s="59">
        <v>574.38</v>
      </c>
      <c r="F51" s="59">
        <v>3864.47</v>
      </c>
      <c r="G51" s="59">
        <v>529.78</v>
      </c>
      <c r="H51" s="59"/>
      <c r="I51" s="59">
        <v>0</v>
      </c>
      <c r="J51" s="59">
        <v>0</v>
      </c>
      <c r="K51" s="59">
        <v>560</v>
      </c>
      <c r="L51" s="59">
        <v>1.54</v>
      </c>
      <c r="M51" s="59">
        <v>0</v>
      </c>
      <c r="N51" s="59">
        <v>418.25</v>
      </c>
      <c r="O51" s="59">
        <v>952.19</v>
      </c>
      <c r="P51" s="59">
        <v>230</v>
      </c>
      <c r="Q51" s="59">
        <v>1154.73</v>
      </c>
      <c r="R51" s="59">
        <v>1553.35</v>
      </c>
      <c r="S51" s="60">
        <v>1121.69</v>
      </c>
      <c r="T51" s="61">
        <f>SUM(D51:S51)</f>
        <v>11624</v>
      </c>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row>
    <row r="52" spans="1:60" s="56" customFormat="1" x14ac:dyDescent="0.25">
      <c r="A52" s="31" t="s">
        <v>55</v>
      </c>
      <c r="B52" s="57">
        <v>44825</v>
      </c>
      <c r="C52" s="58">
        <v>29</v>
      </c>
      <c r="D52" s="59">
        <v>1338.76</v>
      </c>
      <c r="E52" s="59">
        <v>1158.77</v>
      </c>
      <c r="F52" s="59">
        <v>7117.14</v>
      </c>
      <c r="G52" s="59">
        <v>1066.77</v>
      </c>
      <c r="H52" s="59">
        <v>0</v>
      </c>
      <c r="I52" s="59">
        <v>0</v>
      </c>
      <c r="J52" s="59">
        <v>0</v>
      </c>
      <c r="K52" s="59">
        <v>770</v>
      </c>
      <c r="L52" s="59">
        <v>2.86</v>
      </c>
      <c r="M52" s="59">
        <v>0</v>
      </c>
      <c r="N52" s="59">
        <v>843.77</v>
      </c>
      <c r="O52" s="59">
        <v>1815.33</v>
      </c>
      <c r="P52" s="59">
        <v>290</v>
      </c>
      <c r="Q52" s="59">
        <v>2150.75</v>
      </c>
      <c r="R52" s="59">
        <v>2890.15</v>
      </c>
      <c r="S52" s="60">
        <v>1880.06</v>
      </c>
      <c r="T52" s="61">
        <f>SUM(D52:S52)</f>
        <v>21324.360000000004</v>
      </c>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row>
    <row r="53" spans="1:60" s="56" customFormat="1" x14ac:dyDescent="0.25">
      <c r="A53" s="31" t="s">
        <v>163</v>
      </c>
      <c r="B53" s="57">
        <v>44796</v>
      </c>
      <c r="C53" s="58">
        <v>54</v>
      </c>
      <c r="D53" s="59">
        <v>6781.89</v>
      </c>
      <c r="E53" s="59">
        <v>7299.01</v>
      </c>
      <c r="F53" s="59">
        <v>38013.019999999997</v>
      </c>
      <c r="G53" s="59">
        <v>6383</v>
      </c>
      <c r="H53" s="59">
        <v>3311.41</v>
      </c>
      <c r="I53" s="59">
        <v>1880.71</v>
      </c>
      <c r="J53" s="59"/>
      <c r="K53" s="59">
        <v>1375</v>
      </c>
      <c r="L53" s="59"/>
      <c r="M53" s="59">
        <v>20.48</v>
      </c>
      <c r="N53" s="59"/>
      <c r="O53" s="59">
        <v>9151.66</v>
      </c>
      <c r="P53" s="59">
        <v>108</v>
      </c>
      <c r="Q53" s="59">
        <v>10470.99</v>
      </c>
      <c r="R53" s="59">
        <v>15014.69</v>
      </c>
      <c r="S53" s="60">
        <v>8317.3799999999992</v>
      </c>
      <c r="T53" s="61">
        <f>SUM(D53:S53)</f>
        <v>108127.24000000002</v>
      </c>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row>
    <row r="54" spans="1:60" s="56" customFormat="1" x14ac:dyDescent="0.25">
      <c r="A54" s="31" t="s">
        <v>162</v>
      </c>
      <c r="B54" s="57">
        <v>44796</v>
      </c>
      <c r="C54" s="58">
        <v>19</v>
      </c>
      <c r="D54" s="59">
        <v>1127.6300000000001</v>
      </c>
      <c r="E54" s="59">
        <v>1213.28</v>
      </c>
      <c r="F54" s="59">
        <v>6320.51</v>
      </c>
      <c r="G54" s="59">
        <v>1061.31</v>
      </c>
      <c r="H54" s="59">
        <v>473.8</v>
      </c>
      <c r="I54" s="59">
        <v>312.7</v>
      </c>
      <c r="J54" s="59"/>
      <c r="K54" s="59"/>
      <c r="L54" s="59"/>
      <c r="M54" s="59">
        <v>312.89</v>
      </c>
      <c r="N54" s="59">
        <v>0</v>
      </c>
      <c r="O54" s="59">
        <v>1527.26</v>
      </c>
      <c r="P54" s="59">
        <v>38</v>
      </c>
      <c r="Q54" s="59">
        <v>1748.04</v>
      </c>
      <c r="R54" s="59">
        <v>2506.44</v>
      </c>
      <c r="S54" s="60">
        <v>1538.23</v>
      </c>
      <c r="T54" s="61">
        <f>SUM(D54:S54)</f>
        <v>18180.089999999997</v>
      </c>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row>
    <row r="55" spans="1:60" s="56" customFormat="1" x14ac:dyDescent="0.25">
      <c r="A55" s="31" t="s">
        <v>57</v>
      </c>
      <c r="B55" s="57">
        <v>44769</v>
      </c>
      <c r="C55" s="58">
        <v>24</v>
      </c>
      <c r="D55" s="59">
        <v>1746.92</v>
      </c>
      <c r="E55" s="59">
        <v>1776.28</v>
      </c>
      <c r="F55" s="59">
        <v>10654.87</v>
      </c>
      <c r="G55" s="59">
        <v>1453.32</v>
      </c>
      <c r="H55" s="59">
        <v>587.20000000000005</v>
      </c>
      <c r="I55" s="59">
        <v>660.6</v>
      </c>
      <c r="J55" s="59">
        <v>880.8</v>
      </c>
      <c r="K55" s="59">
        <v>630</v>
      </c>
      <c r="L55" s="59">
        <v>38.4</v>
      </c>
      <c r="M55" s="59">
        <v>130.66999999999999</v>
      </c>
      <c r="N55" s="59">
        <v>0</v>
      </c>
      <c r="O55" s="59">
        <v>2737.7</v>
      </c>
      <c r="P55" s="59">
        <v>288</v>
      </c>
      <c r="Q55" s="59">
        <v>2782.03</v>
      </c>
      <c r="R55" s="59">
        <v>4316.21</v>
      </c>
      <c r="S55" s="60">
        <v>2494.1</v>
      </c>
      <c r="T55" s="61">
        <f>SUM(D55:S55)</f>
        <v>31177.099999999995</v>
      </c>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row>
    <row r="56" spans="1:60" s="56" customFormat="1" x14ac:dyDescent="0.25">
      <c r="A56" s="31" t="s">
        <v>58</v>
      </c>
      <c r="B56" s="57">
        <v>44781</v>
      </c>
      <c r="C56" s="58"/>
      <c r="D56" s="59"/>
      <c r="E56" s="59"/>
      <c r="F56" s="59"/>
      <c r="G56" s="59"/>
      <c r="H56" s="59"/>
      <c r="I56" s="59"/>
      <c r="J56" s="59"/>
      <c r="K56" s="59"/>
      <c r="L56" s="59"/>
      <c r="M56" s="59"/>
      <c r="N56" s="59"/>
      <c r="O56" s="59"/>
      <c r="P56" s="59"/>
      <c r="Q56" s="59"/>
      <c r="R56" s="59"/>
      <c r="S56" s="60"/>
      <c r="T56" s="61"/>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row>
    <row r="57" spans="1:60" s="56" customFormat="1" x14ac:dyDescent="0.25">
      <c r="A57" s="31" t="s">
        <v>59</v>
      </c>
      <c r="B57" s="57">
        <v>44819</v>
      </c>
      <c r="C57" s="58"/>
      <c r="D57" s="59"/>
      <c r="E57" s="59"/>
      <c r="F57" s="59"/>
      <c r="G57" s="59"/>
      <c r="H57" s="59"/>
      <c r="I57" s="59"/>
      <c r="J57" s="59"/>
      <c r="K57" s="59"/>
      <c r="L57" s="59"/>
      <c r="M57" s="59"/>
      <c r="N57" s="59"/>
      <c r="O57" s="59"/>
      <c r="P57" s="59"/>
      <c r="Q57" s="59"/>
      <c r="R57" s="59"/>
      <c r="S57" s="60"/>
      <c r="T57" s="61"/>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row>
    <row r="58" spans="1:60" s="56" customFormat="1" x14ac:dyDescent="0.25">
      <c r="A58" s="31" t="s">
        <v>60</v>
      </c>
      <c r="B58" s="57">
        <v>44790</v>
      </c>
      <c r="C58" s="58">
        <v>6</v>
      </c>
      <c r="D58" s="59">
        <v>187.74</v>
      </c>
      <c r="E58" s="59">
        <v>106.43</v>
      </c>
      <c r="F58" s="59">
        <v>963.6</v>
      </c>
      <c r="G58" s="59">
        <v>209.87</v>
      </c>
      <c r="H58" s="59">
        <v>147.55000000000001</v>
      </c>
      <c r="I58" s="59"/>
      <c r="J58" s="59">
        <v>0</v>
      </c>
      <c r="K58" s="59">
        <v>4.3499999999999996</v>
      </c>
      <c r="L58" s="59"/>
      <c r="M58" s="59">
        <v>42.12</v>
      </c>
      <c r="N58" s="59">
        <v>103.31</v>
      </c>
      <c r="O58" s="59">
        <v>291.04000000000002</v>
      </c>
      <c r="P58" s="59">
        <v>10</v>
      </c>
      <c r="Q58" s="59">
        <v>489.14</v>
      </c>
      <c r="R58" s="59">
        <v>484.51</v>
      </c>
      <c r="S58" s="60">
        <v>464.27</v>
      </c>
      <c r="T58" s="61">
        <f>SUM(D58:S58)</f>
        <v>3503.93</v>
      </c>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row>
    <row r="59" spans="1:60" s="56" customFormat="1" x14ac:dyDescent="0.25">
      <c r="A59" s="31" t="s">
        <v>61</v>
      </c>
      <c r="B59" s="57">
        <v>44764</v>
      </c>
      <c r="C59" s="58">
        <v>860</v>
      </c>
      <c r="D59" s="68">
        <v>166739.15</v>
      </c>
      <c r="E59" s="59">
        <v>180610.35</v>
      </c>
      <c r="F59" s="68">
        <v>1182016.46</v>
      </c>
      <c r="G59" s="59"/>
      <c r="H59" s="59"/>
      <c r="I59" s="59">
        <v>125063.32</v>
      </c>
      <c r="J59" s="59"/>
      <c r="K59" s="69">
        <v>151504.88</v>
      </c>
      <c r="L59" s="59"/>
      <c r="M59" s="59"/>
      <c r="N59" s="59"/>
      <c r="O59" s="59">
        <v>210204.31</v>
      </c>
      <c r="P59" s="59">
        <v>1718</v>
      </c>
      <c r="Q59" s="59">
        <v>234670.43</v>
      </c>
      <c r="R59" s="59">
        <v>362904.94</v>
      </c>
      <c r="S59" s="60">
        <v>219288.4</v>
      </c>
      <c r="T59" s="61">
        <f>SUM(D59:S59)</f>
        <v>2834720.24</v>
      </c>
      <c r="U59" s="28" t="s">
        <v>170</v>
      </c>
      <c r="V59" s="28" t="s">
        <v>171</v>
      </c>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row>
    <row r="60" spans="1:60" x14ac:dyDescent="0.25">
      <c r="A60" s="31" t="s">
        <v>158</v>
      </c>
      <c r="B60" s="57"/>
      <c r="C60" s="58"/>
      <c r="D60" s="68"/>
      <c r="E60" s="59"/>
      <c r="F60" s="68"/>
      <c r="G60" s="59"/>
      <c r="H60" s="59"/>
      <c r="I60" s="59"/>
      <c r="J60" s="59"/>
      <c r="K60" s="69"/>
      <c r="L60" s="59"/>
      <c r="M60" s="59"/>
      <c r="N60" s="59"/>
      <c r="O60" s="59"/>
      <c r="P60" s="59"/>
      <c r="Q60" s="59"/>
      <c r="R60" s="59"/>
      <c r="S60" s="60"/>
      <c r="T60" s="61"/>
    </row>
    <row r="61" spans="1:60" s="56" customFormat="1" x14ac:dyDescent="0.25">
      <c r="A61" s="31" t="s">
        <v>62</v>
      </c>
      <c r="B61" s="57">
        <v>44792</v>
      </c>
      <c r="C61" s="58">
        <v>55</v>
      </c>
      <c r="D61" s="59">
        <v>6873.4</v>
      </c>
      <c r="E61" s="59">
        <v>5429.37</v>
      </c>
      <c r="F61" s="59">
        <v>39680.6</v>
      </c>
      <c r="G61" s="59">
        <v>6931.09</v>
      </c>
      <c r="H61" s="59">
        <v>1732.78</v>
      </c>
      <c r="I61" s="59">
        <v>964.59</v>
      </c>
      <c r="J61" s="59">
        <v>0</v>
      </c>
      <c r="K61" s="59">
        <v>2622.54</v>
      </c>
      <c r="L61" s="59">
        <v>0</v>
      </c>
      <c r="M61" s="59">
        <v>0</v>
      </c>
      <c r="N61" s="59">
        <v>0</v>
      </c>
      <c r="O61" s="59">
        <v>8774.7999999999993</v>
      </c>
      <c r="P61" s="59">
        <v>880</v>
      </c>
      <c r="Q61" s="59">
        <v>10395.07</v>
      </c>
      <c r="R61" s="59">
        <v>15035.89</v>
      </c>
      <c r="S61" s="60">
        <v>8287.9599999999991</v>
      </c>
      <c r="T61" s="61">
        <f>SUM(D61:S61)</f>
        <v>107608.09</v>
      </c>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row>
    <row r="62" spans="1:60" s="56" customFormat="1" x14ac:dyDescent="0.25">
      <c r="A62" s="31" t="s">
        <v>63</v>
      </c>
      <c r="B62" s="57">
        <v>44854</v>
      </c>
      <c r="C62" s="58"/>
      <c r="D62" s="59"/>
      <c r="E62" s="59"/>
      <c r="F62" s="59"/>
      <c r="G62" s="59"/>
      <c r="H62" s="59"/>
      <c r="I62" s="59"/>
      <c r="J62" s="59"/>
      <c r="K62" s="59"/>
      <c r="L62" s="59"/>
      <c r="M62" s="59"/>
      <c r="N62" s="59"/>
      <c r="O62" s="59"/>
      <c r="P62" s="59"/>
      <c r="Q62" s="59"/>
      <c r="R62" s="59"/>
      <c r="S62" s="60"/>
      <c r="T62" s="61"/>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row>
    <row r="63" spans="1:60" s="56" customFormat="1" x14ac:dyDescent="0.25">
      <c r="A63" s="31" t="s">
        <v>166</v>
      </c>
      <c r="B63" s="57">
        <v>44854</v>
      </c>
      <c r="C63" s="58"/>
      <c r="D63" s="59"/>
      <c r="E63" s="59"/>
      <c r="F63" s="59"/>
      <c r="G63" s="59"/>
      <c r="H63" s="59"/>
      <c r="I63" s="59"/>
      <c r="J63" s="59"/>
      <c r="K63" s="59"/>
      <c r="L63" s="59"/>
      <c r="M63" s="59"/>
      <c r="N63" s="59"/>
      <c r="O63" s="59"/>
      <c r="P63" s="59"/>
      <c r="Q63" s="59"/>
      <c r="R63" s="59"/>
      <c r="S63" s="60"/>
      <c r="T63" s="61"/>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row>
    <row r="64" spans="1:60" s="56" customFormat="1" x14ac:dyDescent="0.25">
      <c r="A64" s="31" t="s">
        <v>64</v>
      </c>
      <c r="B64" s="57">
        <v>44769</v>
      </c>
      <c r="C64" s="58">
        <v>137</v>
      </c>
      <c r="D64" s="59">
        <v>383296</v>
      </c>
      <c r="E64" s="59">
        <v>51240.71</v>
      </c>
      <c r="F64" s="59">
        <v>253004.19</v>
      </c>
      <c r="G64" s="59">
        <v>36397.06</v>
      </c>
      <c r="H64" s="59">
        <v>8052.73</v>
      </c>
      <c r="I64" s="59">
        <v>3543.32</v>
      </c>
      <c r="J64" s="59">
        <v>0</v>
      </c>
      <c r="K64" s="59">
        <v>19957.66</v>
      </c>
      <c r="L64" s="59">
        <v>2009.97</v>
      </c>
      <c r="M64" s="59">
        <v>7247.7</v>
      </c>
      <c r="N64" s="59">
        <v>98.49</v>
      </c>
      <c r="O64" s="59">
        <v>49877.22</v>
      </c>
      <c r="P64" s="59">
        <v>0</v>
      </c>
      <c r="Q64" s="59">
        <v>417703.19</v>
      </c>
      <c r="R64" s="59">
        <v>84086.64</v>
      </c>
      <c r="S64" s="60">
        <v>62162.22</v>
      </c>
      <c r="T64" s="61">
        <f>SUM(D64:S64)</f>
        <v>1378677.0999999996</v>
      </c>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row>
    <row r="65" spans="1:60" s="56" customFormat="1" x14ac:dyDescent="0.25">
      <c r="A65" s="31" t="s">
        <v>65</v>
      </c>
      <c r="B65" s="57">
        <v>44782</v>
      </c>
      <c r="C65" s="58">
        <v>7</v>
      </c>
      <c r="D65" s="59">
        <v>60.17</v>
      </c>
      <c r="E65" s="59">
        <v>87.97</v>
      </c>
      <c r="F65" s="59">
        <v>345.85</v>
      </c>
      <c r="G65" s="59">
        <v>0</v>
      </c>
      <c r="H65" s="59">
        <v>30.34</v>
      </c>
      <c r="I65" s="59">
        <v>30.34</v>
      </c>
      <c r="J65" s="59">
        <v>0</v>
      </c>
      <c r="K65" s="59"/>
      <c r="L65" s="59"/>
      <c r="M65" s="59">
        <v>10.119999999999999</v>
      </c>
      <c r="N65" s="59">
        <v>0</v>
      </c>
      <c r="O65" s="59">
        <v>87.72</v>
      </c>
      <c r="P65" s="59">
        <v>77</v>
      </c>
      <c r="Q65" s="59">
        <v>99.19</v>
      </c>
      <c r="R65" s="59">
        <v>132.99</v>
      </c>
      <c r="S65" s="60">
        <v>171.5</v>
      </c>
      <c r="T65" s="61">
        <f>SUM(D65:S65)</f>
        <v>1133.19</v>
      </c>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row>
    <row r="66" spans="1:60" s="56" customFormat="1" x14ac:dyDescent="0.25">
      <c r="A66" s="31" t="s">
        <v>66</v>
      </c>
      <c r="B66" s="57">
        <v>44854</v>
      </c>
      <c r="C66" s="58">
        <v>108</v>
      </c>
      <c r="D66" s="59">
        <v>6344.4</v>
      </c>
      <c r="E66" s="59">
        <v>5811.32</v>
      </c>
      <c r="F66" s="59">
        <v>26873.18</v>
      </c>
      <c r="G66" s="59">
        <v>4745.07</v>
      </c>
      <c r="H66" s="59">
        <v>2132.59</v>
      </c>
      <c r="I66" s="59">
        <v>0</v>
      </c>
      <c r="J66" s="59">
        <v>3732.04</v>
      </c>
      <c r="K66" s="59">
        <v>3667.5</v>
      </c>
      <c r="L66" s="59">
        <v>1906.57</v>
      </c>
      <c r="M66" s="59">
        <v>1172.93</v>
      </c>
      <c r="N66" s="59">
        <v>2612.4299999999998</v>
      </c>
      <c r="O66" s="59">
        <v>9148.35</v>
      </c>
      <c r="P66" s="59">
        <v>540</v>
      </c>
      <c r="Q66" s="59">
        <v>11083</v>
      </c>
      <c r="R66" s="59">
        <v>14016.17</v>
      </c>
      <c r="S66" s="60">
        <v>8628.09</v>
      </c>
      <c r="T66" s="61">
        <f>SUM(D66:S66)</f>
        <v>102413.64</v>
      </c>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row>
    <row r="67" spans="1:60" s="56" customFormat="1" ht="14.25" customHeight="1" x14ac:dyDescent="0.25">
      <c r="A67" s="31" t="s">
        <v>67</v>
      </c>
      <c r="B67" s="57">
        <v>44782</v>
      </c>
      <c r="C67" s="58">
        <v>43</v>
      </c>
      <c r="D67" s="59">
        <v>3058.48</v>
      </c>
      <c r="E67" s="59">
        <v>5654.32</v>
      </c>
      <c r="F67" s="59">
        <v>13184.86</v>
      </c>
      <c r="G67" s="59">
        <v>1490.67</v>
      </c>
      <c r="H67" s="59">
        <v>719.64</v>
      </c>
      <c r="I67" s="59">
        <v>1156.57</v>
      </c>
      <c r="J67" s="59">
        <v>0</v>
      </c>
      <c r="K67" s="59">
        <v>1106.8499999999999</v>
      </c>
      <c r="L67" s="59">
        <v>0</v>
      </c>
      <c r="M67" s="59">
        <v>0</v>
      </c>
      <c r="N67" s="59">
        <v>0</v>
      </c>
      <c r="O67" s="59">
        <v>4097.55</v>
      </c>
      <c r="P67" s="59">
        <v>0</v>
      </c>
      <c r="Q67" s="59">
        <v>4292.45</v>
      </c>
      <c r="R67" s="59">
        <v>6132.78</v>
      </c>
      <c r="S67" s="60">
        <v>3496.41</v>
      </c>
      <c r="T67" s="61">
        <f>SUM(D67:S67)</f>
        <v>44390.58</v>
      </c>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row>
    <row r="68" spans="1:60" s="56" customFormat="1" x14ac:dyDescent="0.25">
      <c r="A68" s="31" t="s">
        <v>68</v>
      </c>
      <c r="B68" s="57">
        <v>44811</v>
      </c>
      <c r="C68" s="58"/>
      <c r="D68" s="59"/>
      <c r="E68" s="59"/>
      <c r="F68" s="59"/>
      <c r="G68" s="59"/>
      <c r="H68" s="59"/>
      <c r="I68" s="59"/>
      <c r="J68" s="59"/>
      <c r="K68" s="59"/>
      <c r="L68" s="59"/>
      <c r="M68" s="59"/>
      <c r="N68" s="59"/>
      <c r="O68" s="59"/>
      <c r="P68" s="59"/>
      <c r="Q68" s="59"/>
      <c r="R68" s="59"/>
      <c r="S68" s="60"/>
      <c r="T68" s="61"/>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row>
    <row r="69" spans="1:60" s="56" customFormat="1" x14ac:dyDescent="0.25">
      <c r="A69" s="31" t="s">
        <v>69</v>
      </c>
      <c r="B69" s="57">
        <v>44832</v>
      </c>
      <c r="C69" s="58">
        <v>79</v>
      </c>
      <c r="D69" s="59">
        <v>8989.9699999999993</v>
      </c>
      <c r="E69" s="59">
        <v>12313.99</v>
      </c>
      <c r="F69" s="59">
        <v>43438.96</v>
      </c>
      <c r="G69" s="59">
        <v>9972.09</v>
      </c>
      <c r="H69" s="59">
        <v>4532.76</v>
      </c>
      <c r="I69" s="59">
        <v>6119.23</v>
      </c>
      <c r="J69" s="59">
        <v>0</v>
      </c>
      <c r="K69" s="59">
        <v>1237.74</v>
      </c>
      <c r="L69" s="59">
        <v>0</v>
      </c>
      <c r="M69" s="59">
        <v>1813.11</v>
      </c>
      <c r="N69" s="59">
        <v>0</v>
      </c>
      <c r="O69" s="59">
        <v>13246.74</v>
      </c>
      <c r="P69" s="59">
        <v>711</v>
      </c>
      <c r="Q69" s="59">
        <v>15472.2</v>
      </c>
      <c r="R69" s="59">
        <v>20778</v>
      </c>
      <c r="S69" s="60">
        <v>11573.99</v>
      </c>
      <c r="T69" s="61">
        <f>SUM(D69:S69)</f>
        <v>150199.77999999997</v>
      </c>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row>
    <row r="70" spans="1:60" s="56" customFormat="1" x14ac:dyDescent="0.25">
      <c r="A70" s="31" t="s">
        <v>70</v>
      </c>
      <c r="B70" s="57">
        <v>44818</v>
      </c>
      <c r="C70" s="58">
        <v>29</v>
      </c>
      <c r="D70" s="59">
        <v>1629.16</v>
      </c>
      <c r="E70" s="59">
        <v>5477.54</v>
      </c>
      <c r="F70" s="59">
        <v>6733.01</v>
      </c>
      <c r="G70" s="59">
        <v>1922</v>
      </c>
      <c r="H70" s="59">
        <v>1094.8599999999999</v>
      </c>
      <c r="I70" s="59">
        <v>1012.73</v>
      </c>
      <c r="J70" s="59">
        <v>0</v>
      </c>
      <c r="K70" s="59">
        <v>17.489999999999998</v>
      </c>
      <c r="L70" s="59">
        <v>0</v>
      </c>
      <c r="M70" s="59">
        <v>369.72</v>
      </c>
      <c r="N70" s="59">
        <v>0</v>
      </c>
      <c r="O70" s="59">
        <v>3121.54</v>
      </c>
      <c r="P70" s="59">
        <v>280</v>
      </c>
      <c r="Q70" s="59">
        <v>3141.52</v>
      </c>
      <c r="R70" s="59">
        <v>4161.37</v>
      </c>
      <c r="S70" s="60">
        <v>2574.81</v>
      </c>
      <c r="T70" s="61">
        <f>SUM(D70:S70)</f>
        <v>31535.750000000004</v>
      </c>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row>
    <row r="71" spans="1:60" s="56" customFormat="1" x14ac:dyDescent="0.25">
      <c r="A71" s="31" t="s">
        <v>71</v>
      </c>
      <c r="B71" s="57">
        <v>44861</v>
      </c>
      <c r="C71" s="58">
        <v>39</v>
      </c>
      <c r="D71" s="59">
        <v>2872.94</v>
      </c>
      <c r="E71" s="59">
        <v>5191.93</v>
      </c>
      <c r="F71" s="59">
        <v>17370.04</v>
      </c>
      <c r="G71" s="59">
        <v>4270.17</v>
      </c>
      <c r="H71" s="59">
        <v>1447.5</v>
      </c>
      <c r="I71" s="59">
        <v>2798.5</v>
      </c>
      <c r="J71" s="59">
        <v>0</v>
      </c>
      <c r="K71" s="59">
        <v>39.409999999999997</v>
      </c>
      <c r="L71" s="59">
        <v>50.73</v>
      </c>
      <c r="M71" s="59">
        <v>603.22</v>
      </c>
      <c r="N71" s="59">
        <v>0</v>
      </c>
      <c r="O71" s="59">
        <v>4357.46</v>
      </c>
      <c r="P71" s="59">
        <v>0</v>
      </c>
      <c r="Q71" s="59">
        <v>0</v>
      </c>
      <c r="R71" s="59">
        <v>6927.67</v>
      </c>
      <c r="S71" s="60">
        <v>4010.35</v>
      </c>
      <c r="T71" s="61">
        <f>SUM(D71:S71)</f>
        <v>49939.920000000006</v>
      </c>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row>
    <row r="72" spans="1:60" s="56" customFormat="1" x14ac:dyDescent="0.25">
      <c r="A72" s="77" t="s">
        <v>72</v>
      </c>
      <c r="B72" s="57">
        <v>44768</v>
      </c>
      <c r="C72" s="58"/>
      <c r="D72" s="59"/>
      <c r="E72" s="59"/>
      <c r="F72" s="59"/>
      <c r="G72" s="59"/>
      <c r="H72" s="59"/>
      <c r="I72" s="59"/>
      <c r="J72" s="59"/>
      <c r="K72" s="59"/>
      <c r="L72" s="59"/>
      <c r="M72" s="59"/>
      <c r="N72" s="59"/>
      <c r="O72" s="59"/>
      <c r="P72" s="59"/>
      <c r="Q72" s="59"/>
      <c r="R72" s="59"/>
      <c r="S72" s="60"/>
      <c r="T72" s="61"/>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row>
    <row r="73" spans="1:60" s="56" customFormat="1" x14ac:dyDescent="0.25">
      <c r="A73" s="31" t="s">
        <v>73</v>
      </c>
      <c r="B73" s="57">
        <v>44764</v>
      </c>
      <c r="C73" s="58">
        <v>65</v>
      </c>
      <c r="D73" s="59">
        <v>35105.56</v>
      </c>
      <c r="E73" s="59">
        <v>10717.56</v>
      </c>
      <c r="F73" s="59">
        <v>37246.699999999997</v>
      </c>
      <c r="G73" s="59">
        <v>1337.4</v>
      </c>
      <c r="H73" s="59">
        <v>5241.18</v>
      </c>
      <c r="I73" s="59">
        <v>2439.63</v>
      </c>
      <c r="J73" s="59">
        <v>0</v>
      </c>
      <c r="K73" s="59">
        <v>4411.87</v>
      </c>
      <c r="L73" s="59">
        <v>840.69</v>
      </c>
      <c r="M73" s="59"/>
      <c r="N73" s="59"/>
      <c r="O73" s="59"/>
      <c r="P73" s="59"/>
      <c r="Q73" s="59"/>
      <c r="R73" s="59">
        <v>4411.87</v>
      </c>
      <c r="S73" s="60">
        <v>4123.83</v>
      </c>
      <c r="T73" s="61">
        <f t="shared" ref="T73:T78" si="2">SUM(D73:S73)</f>
        <v>105876.29</v>
      </c>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row>
    <row r="74" spans="1:60" s="56" customFormat="1" x14ac:dyDescent="0.25">
      <c r="A74" s="31" t="s">
        <v>74</v>
      </c>
      <c r="B74" s="57">
        <v>45161</v>
      </c>
      <c r="C74" s="58">
        <v>64</v>
      </c>
      <c r="D74" s="59">
        <v>4533.96</v>
      </c>
      <c r="E74" s="59" t="s">
        <v>174</v>
      </c>
      <c r="F74" s="59">
        <v>20261.830000000002</v>
      </c>
      <c r="G74" s="59">
        <v>2593.02</v>
      </c>
      <c r="H74" s="59">
        <v>1523.76</v>
      </c>
      <c r="I74" s="59">
        <v>1675.87</v>
      </c>
      <c r="J74" s="59">
        <v>0</v>
      </c>
      <c r="K74" s="59">
        <v>1895.83</v>
      </c>
      <c r="L74" s="59">
        <v>0</v>
      </c>
      <c r="M74" s="59">
        <v>0</v>
      </c>
      <c r="N74" s="59">
        <v>3544.05</v>
      </c>
      <c r="O74" s="59">
        <v>5048.7700000000004</v>
      </c>
      <c r="P74" s="59">
        <v>134</v>
      </c>
      <c r="Q74" s="59">
        <v>0</v>
      </c>
      <c r="R74" s="59">
        <v>7975.39</v>
      </c>
      <c r="S74" s="60">
        <v>4662.72</v>
      </c>
      <c r="T74" s="61">
        <f t="shared" si="2"/>
        <v>53849.2</v>
      </c>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row>
    <row r="75" spans="1:60" s="56" customFormat="1" x14ac:dyDescent="0.25">
      <c r="A75" s="31" t="s">
        <v>75</v>
      </c>
      <c r="B75" s="57">
        <v>44792</v>
      </c>
      <c r="C75" s="58">
        <v>20</v>
      </c>
      <c r="D75" s="59">
        <v>1338.15</v>
      </c>
      <c r="E75" s="59">
        <v>1338.15</v>
      </c>
      <c r="F75" s="59">
        <v>4992.79</v>
      </c>
      <c r="G75" s="59">
        <v>0</v>
      </c>
      <c r="H75" s="59">
        <v>337.35</v>
      </c>
      <c r="I75" s="59">
        <v>573.47</v>
      </c>
      <c r="J75" s="59">
        <v>0</v>
      </c>
      <c r="K75" s="59">
        <v>1092.2</v>
      </c>
      <c r="L75" s="59">
        <v>2.36</v>
      </c>
      <c r="M75" s="59">
        <v>175.43</v>
      </c>
      <c r="N75" s="59">
        <v>0</v>
      </c>
      <c r="O75" s="59">
        <v>1422.51</v>
      </c>
      <c r="P75" s="59">
        <v>0</v>
      </c>
      <c r="Q75" s="59"/>
      <c r="R75" s="59">
        <v>612.86</v>
      </c>
      <c r="S75" s="60">
        <v>1144.8</v>
      </c>
      <c r="T75" s="61">
        <f t="shared" si="2"/>
        <v>13030.070000000002</v>
      </c>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row>
    <row r="76" spans="1:60" s="56" customFormat="1" x14ac:dyDescent="0.25">
      <c r="A76" s="31" t="s">
        <v>76</v>
      </c>
      <c r="B76" s="57">
        <v>44790</v>
      </c>
      <c r="C76" s="58">
        <v>94</v>
      </c>
      <c r="D76" s="59">
        <v>7319.58</v>
      </c>
      <c r="E76" s="59">
        <v>7996.19</v>
      </c>
      <c r="F76" s="59">
        <v>33650.519999999997</v>
      </c>
      <c r="G76" s="59">
        <v>5597.35</v>
      </c>
      <c r="H76" s="59">
        <v>1537.7</v>
      </c>
      <c r="I76" s="59">
        <v>2767.89</v>
      </c>
      <c r="J76" s="59">
        <v>0</v>
      </c>
      <c r="K76" s="59">
        <v>0</v>
      </c>
      <c r="L76" s="59">
        <v>493.73</v>
      </c>
      <c r="M76" s="59">
        <v>922.65</v>
      </c>
      <c r="N76" s="59">
        <v>0</v>
      </c>
      <c r="O76" s="59">
        <v>8712.4599999999991</v>
      </c>
      <c r="P76" s="59">
        <v>846</v>
      </c>
      <c r="Q76" s="59">
        <v>9782.7900000000009</v>
      </c>
      <c r="R76" s="59">
        <v>1138</v>
      </c>
      <c r="S76" s="60">
        <v>8418.76</v>
      </c>
      <c r="T76" s="61">
        <f t="shared" si="2"/>
        <v>89183.619999999981</v>
      </c>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row>
    <row r="77" spans="1:60" s="56" customFormat="1" x14ac:dyDescent="0.25">
      <c r="A77" s="31" t="s">
        <v>77</v>
      </c>
      <c r="B77" s="57">
        <v>44797</v>
      </c>
      <c r="C77" s="58">
        <v>275</v>
      </c>
      <c r="D77" s="59">
        <v>2830.41</v>
      </c>
      <c r="E77" s="59">
        <v>2901.75</v>
      </c>
      <c r="F77" s="59">
        <v>10631.8</v>
      </c>
      <c r="G77" s="59">
        <v>1216.8</v>
      </c>
      <c r="H77" s="59">
        <v>829.44</v>
      </c>
      <c r="I77" s="59">
        <v>1106.18</v>
      </c>
      <c r="J77" s="59"/>
      <c r="K77" s="59">
        <v>1202.78</v>
      </c>
      <c r="L77" s="59"/>
      <c r="M77" s="59">
        <v>0</v>
      </c>
      <c r="N77" s="59">
        <v>2046.43</v>
      </c>
      <c r="O77" s="59">
        <v>3357.09</v>
      </c>
      <c r="P77" s="59">
        <v>180</v>
      </c>
      <c r="Q77" s="59">
        <v>3557.74</v>
      </c>
      <c r="R77" s="59">
        <v>5085.54</v>
      </c>
      <c r="S77" s="60">
        <v>2842.77</v>
      </c>
      <c r="T77" s="61">
        <f t="shared" si="2"/>
        <v>37788.729999999996</v>
      </c>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row>
    <row r="78" spans="1:60" s="56" customFormat="1" x14ac:dyDescent="0.25">
      <c r="A78" s="31" t="s">
        <v>78</v>
      </c>
      <c r="B78" s="57">
        <v>44798</v>
      </c>
      <c r="C78" s="58">
        <v>149</v>
      </c>
      <c r="D78" s="70">
        <v>17042.900000000001</v>
      </c>
      <c r="E78" s="70">
        <v>19793.86</v>
      </c>
      <c r="F78" s="70">
        <v>45944.06</v>
      </c>
      <c r="G78" s="70">
        <v>8736.06</v>
      </c>
      <c r="H78" s="70">
        <v>3437.13</v>
      </c>
      <c r="I78" s="70">
        <v>5857.43</v>
      </c>
      <c r="J78" s="70"/>
      <c r="K78" s="70">
        <v>7539.62</v>
      </c>
      <c r="L78" s="70"/>
      <c r="M78" s="70">
        <v>209</v>
      </c>
      <c r="N78" s="70">
        <v>12.33</v>
      </c>
      <c r="O78" s="70">
        <v>13125.6</v>
      </c>
      <c r="P78" s="70"/>
      <c r="Q78" s="70"/>
      <c r="R78" s="70">
        <v>21118.39</v>
      </c>
      <c r="S78" s="70">
        <v>12645.3</v>
      </c>
      <c r="T78" s="71">
        <f t="shared" si="2"/>
        <v>155461.68</v>
      </c>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row>
    <row r="79" spans="1:60" s="56" customFormat="1" x14ac:dyDescent="0.25">
      <c r="A79" s="31" t="s">
        <v>79</v>
      </c>
      <c r="B79" s="57">
        <v>44796</v>
      </c>
      <c r="C79" s="58"/>
      <c r="D79" s="70"/>
      <c r="E79" s="70"/>
      <c r="F79" s="70"/>
      <c r="G79" s="70"/>
      <c r="H79" s="70"/>
      <c r="I79" s="70"/>
      <c r="J79" s="70"/>
      <c r="K79" s="70"/>
      <c r="L79" s="70"/>
      <c r="M79" s="70"/>
      <c r="N79" s="70"/>
      <c r="O79" s="70"/>
      <c r="P79" s="70"/>
      <c r="Q79" s="70"/>
      <c r="R79" s="70"/>
      <c r="S79" s="70"/>
      <c r="T79" s="71"/>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row>
    <row r="80" spans="1:60" s="56" customFormat="1" x14ac:dyDescent="0.25">
      <c r="A80" s="31" t="s">
        <v>80</v>
      </c>
      <c r="B80" s="57">
        <v>44795</v>
      </c>
      <c r="C80" s="58">
        <v>8</v>
      </c>
      <c r="D80" s="70">
        <v>480.22</v>
      </c>
      <c r="E80" s="70">
        <v>702.17</v>
      </c>
      <c r="F80" s="70">
        <v>2489.91</v>
      </c>
      <c r="G80" s="70">
        <v>165.46</v>
      </c>
      <c r="H80" s="70">
        <v>209.85</v>
      </c>
      <c r="I80" s="70">
        <v>145.28</v>
      </c>
      <c r="J80" s="70"/>
      <c r="K80" s="70">
        <v>160</v>
      </c>
      <c r="L80" s="70">
        <v>0.3</v>
      </c>
      <c r="M80" s="70">
        <v>52.47</v>
      </c>
      <c r="N80" s="70">
        <v>0</v>
      </c>
      <c r="O80" s="70">
        <v>666.07</v>
      </c>
      <c r="P80" s="70">
        <v>144</v>
      </c>
      <c r="Q80" s="70">
        <v>716.18</v>
      </c>
      <c r="R80" s="70">
        <v>1024.3599999999999</v>
      </c>
      <c r="S80" s="70">
        <v>632.19000000000005</v>
      </c>
      <c r="T80" s="71">
        <f>SUM(D80:S80)</f>
        <v>7588.4599999999991</v>
      </c>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row>
    <row r="81" spans="1:60" s="56" customFormat="1" x14ac:dyDescent="0.25">
      <c r="A81" s="31" t="s">
        <v>81</v>
      </c>
      <c r="B81" s="57">
        <v>44798</v>
      </c>
      <c r="C81" s="58">
        <v>117</v>
      </c>
      <c r="D81" s="70">
        <v>12454.93</v>
      </c>
      <c r="E81" s="70">
        <v>7954.37</v>
      </c>
      <c r="F81" s="70">
        <v>66959.42</v>
      </c>
      <c r="G81" s="70">
        <v>6566.66</v>
      </c>
      <c r="H81" s="70">
        <v>6080.21</v>
      </c>
      <c r="I81" s="70">
        <v>2188.84</v>
      </c>
      <c r="J81" s="70">
        <v>0</v>
      </c>
      <c r="K81" s="70">
        <v>0</v>
      </c>
      <c r="L81" s="70"/>
      <c r="M81" s="70">
        <v>146.01</v>
      </c>
      <c r="N81" s="70">
        <v>5593.79</v>
      </c>
      <c r="O81" s="70">
        <v>14432.23</v>
      </c>
      <c r="P81" s="70">
        <v>1170</v>
      </c>
      <c r="Q81" s="70">
        <v>17008.62</v>
      </c>
      <c r="R81" s="70">
        <v>24651.25</v>
      </c>
      <c r="S81" s="70">
        <v>13963.6</v>
      </c>
      <c r="T81" s="71">
        <f>SUM(D81:S81)</f>
        <v>179169.93</v>
      </c>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row>
    <row r="82" spans="1:60" s="56" customFormat="1" x14ac:dyDescent="0.25">
      <c r="A82" s="31" t="s">
        <v>82</v>
      </c>
      <c r="B82" s="57">
        <v>44768</v>
      </c>
      <c r="C82" s="58">
        <v>88</v>
      </c>
      <c r="D82" s="70">
        <v>3022.23</v>
      </c>
      <c r="E82" s="70">
        <v>11682.62</v>
      </c>
      <c r="F82" s="70">
        <v>15010.2</v>
      </c>
      <c r="G82" s="70">
        <v>3829.04</v>
      </c>
      <c r="H82" s="70">
        <v>2514.1999999999998</v>
      </c>
      <c r="I82" s="70">
        <v>3507.16</v>
      </c>
      <c r="J82" s="70"/>
      <c r="K82" s="70">
        <v>42.82</v>
      </c>
      <c r="L82" s="70"/>
      <c r="M82" s="70">
        <v>526.13</v>
      </c>
      <c r="N82" s="70">
        <v>0</v>
      </c>
      <c r="O82" s="70">
        <v>6088.28</v>
      </c>
      <c r="P82" s="70">
        <v>2406.7600000000002</v>
      </c>
      <c r="Q82" s="70">
        <v>5899.06</v>
      </c>
      <c r="R82" s="70">
        <v>9172.4</v>
      </c>
      <c r="S82" s="70">
        <v>5359.51</v>
      </c>
      <c r="T82" s="71">
        <f>SUM(D82:S82)</f>
        <v>69060.409999999989</v>
      </c>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row>
    <row r="83" spans="1:60" s="56" customFormat="1" x14ac:dyDescent="0.25">
      <c r="A83" s="31" t="s">
        <v>83</v>
      </c>
      <c r="B83" s="57">
        <v>44860</v>
      </c>
      <c r="C83" s="58">
        <v>47</v>
      </c>
      <c r="D83" s="70">
        <v>3527.79</v>
      </c>
      <c r="E83" s="70">
        <v>3249.49</v>
      </c>
      <c r="F83" s="70">
        <v>17490.73</v>
      </c>
      <c r="G83" s="70">
        <v>1482.27</v>
      </c>
      <c r="H83" s="70">
        <v>889.36</v>
      </c>
      <c r="I83" s="70">
        <v>10007.950000000001</v>
      </c>
      <c r="J83" s="70"/>
      <c r="K83" s="70">
        <v>0</v>
      </c>
      <c r="L83" s="70">
        <v>326.10000000000002</v>
      </c>
      <c r="M83" s="70">
        <v>0</v>
      </c>
      <c r="N83" s="70">
        <v>0</v>
      </c>
      <c r="O83" s="70">
        <v>7037.02</v>
      </c>
      <c r="P83" s="70">
        <v>100</v>
      </c>
      <c r="Q83" s="70"/>
      <c r="R83" s="70">
        <v>11009.48</v>
      </c>
      <c r="S83" s="70">
        <v>6454.72</v>
      </c>
      <c r="T83" s="71">
        <f>SUM(D83:S83)</f>
        <v>61574.909999999989</v>
      </c>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row>
    <row r="84" spans="1:60" s="56" customFormat="1" x14ac:dyDescent="0.25">
      <c r="A84" s="31" t="s">
        <v>84</v>
      </c>
      <c r="B84" s="57">
        <v>44770</v>
      </c>
      <c r="C84" s="58"/>
      <c r="D84" s="70"/>
      <c r="E84" s="70"/>
      <c r="F84" s="70"/>
      <c r="G84" s="70"/>
      <c r="H84" s="70"/>
      <c r="I84" s="70"/>
      <c r="J84" s="70"/>
      <c r="K84" s="70"/>
      <c r="L84" s="70"/>
      <c r="M84" s="70"/>
      <c r="N84" s="70"/>
      <c r="O84" s="70"/>
      <c r="P84" s="70"/>
      <c r="Q84" s="70"/>
      <c r="R84" s="70"/>
      <c r="S84" s="70"/>
      <c r="T84" s="71"/>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row>
    <row r="85" spans="1:60" s="56" customFormat="1" x14ac:dyDescent="0.25">
      <c r="A85" s="31" t="s">
        <v>85</v>
      </c>
      <c r="B85" s="57">
        <v>44840</v>
      </c>
      <c r="C85" s="58">
        <v>1</v>
      </c>
      <c r="D85" s="70">
        <v>32.72</v>
      </c>
      <c r="E85" s="70">
        <v>35.479999999999997</v>
      </c>
      <c r="F85" s="70">
        <v>222.48</v>
      </c>
      <c r="G85" s="70">
        <v>29.98</v>
      </c>
      <c r="H85" s="70">
        <v>11</v>
      </c>
      <c r="I85" s="70">
        <v>30.25</v>
      </c>
      <c r="J85" s="70">
        <v>0</v>
      </c>
      <c r="K85" s="70">
        <v>30</v>
      </c>
      <c r="L85" s="70">
        <v>25.3</v>
      </c>
      <c r="M85" s="70">
        <v>0</v>
      </c>
      <c r="N85" s="70">
        <v>98.04</v>
      </c>
      <c r="O85" s="70">
        <v>62.49</v>
      </c>
      <c r="P85" s="70">
        <v>5</v>
      </c>
      <c r="Q85" s="70"/>
      <c r="R85" s="70">
        <v>98.04</v>
      </c>
      <c r="S85" s="70">
        <v>64.02</v>
      </c>
      <c r="T85" s="71">
        <f>SUM(D85:S85)</f>
        <v>744.8</v>
      </c>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row>
    <row r="86" spans="1:60" s="65" customFormat="1" x14ac:dyDescent="0.25">
      <c r="A86" s="31" t="s">
        <v>86</v>
      </c>
      <c r="B86" s="57">
        <v>44760</v>
      </c>
      <c r="C86" s="58">
        <v>43</v>
      </c>
      <c r="D86" s="70">
        <v>3248.78</v>
      </c>
      <c r="E86" s="70">
        <v>6197.3</v>
      </c>
      <c r="F86" s="70">
        <v>14933.62</v>
      </c>
      <c r="G86" s="70">
        <v>1829.14</v>
      </c>
      <c r="H86" s="70">
        <v>2047.54</v>
      </c>
      <c r="I86" s="70">
        <v>1092.04</v>
      </c>
      <c r="J86" s="70"/>
      <c r="K86" s="70"/>
      <c r="L86" s="70">
        <v>36616.43</v>
      </c>
      <c r="M86" s="70">
        <v>0</v>
      </c>
      <c r="N86" s="70">
        <v>0</v>
      </c>
      <c r="O86" s="70">
        <v>10033.98</v>
      </c>
      <c r="P86" s="70">
        <v>1333</v>
      </c>
      <c r="Q86" s="70">
        <v>9900.31</v>
      </c>
      <c r="R86" s="70">
        <v>15313.1</v>
      </c>
      <c r="S86" s="70">
        <v>8231.51</v>
      </c>
      <c r="T86" s="71">
        <f>SUM(D86:S86)</f>
        <v>110776.75</v>
      </c>
      <c r="U86" s="28"/>
      <c r="V86" s="28"/>
      <c r="W86" s="28"/>
      <c r="X86" s="28"/>
      <c r="Y86" s="28"/>
      <c r="Z86" s="28"/>
      <c r="AA86" s="28"/>
      <c r="AB86" s="28"/>
      <c r="AC86" s="28"/>
      <c r="AD86" s="28"/>
      <c r="AE86" s="28"/>
      <c r="AF86" s="28"/>
      <c r="AG86" s="28"/>
    </row>
    <row r="87" spans="1:60" s="56" customFormat="1" x14ac:dyDescent="0.25">
      <c r="A87" s="31" t="s">
        <v>87</v>
      </c>
      <c r="B87" s="57">
        <v>44798</v>
      </c>
      <c r="C87" s="58">
        <v>58</v>
      </c>
      <c r="D87" s="70">
        <v>4483.1000000000004</v>
      </c>
      <c r="E87" s="70">
        <v>8137.36</v>
      </c>
      <c r="F87" s="70">
        <v>22415.42</v>
      </c>
      <c r="G87" s="70">
        <v>3691.95</v>
      </c>
      <c r="H87" s="70">
        <v>1017.15</v>
      </c>
      <c r="I87" s="70">
        <v>1167.83</v>
      </c>
      <c r="J87" s="70">
        <v>0</v>
      </c>
      <c r="K87" s="70">
        <v>1966.32</v>
      </c>
      <c r="L87" s="70">
        <v>2533.0700000000002</v>
      </c>
      <c r="M87" s="70">
        <v>301.38</v>
      </c>
      <c r="N87" s="70">
        <v>0</v>
      </c>
      <c r="O87" s="70">
        <v>6984.46</v>
      </c>
      <c r="P87" s="70">
        <v>522</v>
      </c>
      <c r="Q87" s="70">
        <v>7518.18</v>
      </c>
      <c r="R87" s="70">
        <v>10646.57</v>
      </c>
      <c r="S87" s="70">
        <v>6193.25</v>
      </c>
      <c r="T87" s="71">
        <f>SUM(D87:S87)</f>
        <v>77578.039999999994</v>
      </c>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row>
    <row r="88" spans="1:60" s="56" customFormat="1" x14ac:dyDescent="0.25">
      <c r="A88" s="31" t="s">
        <v>88</v>
      </c>
      <c r="B88" s="57">
        <v>44804</v>
      </c>
      <c r="C88" s="58"/>
      <c r="D88" s="70"/>
      <c r="E88" s="70"/>
      <c r="F88" s="70"/>
      <c r="G88" s="70"/>
      <c r="H88" s="70"/>
      <c r="I88" s="70"/>
      <c r="J88" s="70"/>
      <c r="K88" s="70"/>
      <c r="L88" s="70"/>
      <c r="M88" s="70"/>
      <c r="N88" s="70"/>
      <c r="O88" s="70"/>
      <c r="P88" s="70"/>
      <c r="Q88" s="70"/>
      <c r="R88" s="70"/>
      <c r="S88" s="70"/>
      <c r="T88" s="71"/>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row>
    <row r="89" spans="1:60" s="56" customFormat="1" x14ac:dyDescent="0.25">
      <c r="A89" s="31" t="s">
        <v>89</v>
      </c>
      <c r="B89" s="57">
        <v>44762</v>
      </c>
      <c r="C89" s="58">
        <v>52</v>
      </c>
      <c r="D89" s="70">
        <v>4770.05</v>
      </c>
      <c r="E89" s="70">
        <v>5210.97</v>
      </c>
      <c r="F89" s="70">
        <v>20847.009999999998</v>
      </c>
      <c r="G89" s="70">
        <v>3046</v>
      </c>
      <c r="H89" s="70">
        <v>2004.24</v>
      </c>
      <c r="I89" s="70">
        <v>1643.44</v>
      </c>
      <c r="J89" s="70">
        <v>0</v>
      </c>
      <c r="K89" s="70">
        <v>1581.07</v>
      </c>
      <c r="L89" s="70">
        <v>0</v>
      </c>
      <c r="M89" s="70">
        <v>280.56</v>
      </c>
      <c r="N89" s="70">
        <v>0</v>
      </c>
      <c r="O89" s="70">
        <v>5658.24</v>
      </c>
      <c r="P89" s="70">
        <v>468</v>
      </c>
      <c r="Q89" s="70">
        <v>5897.65</v>
      </c>
      <c r="R89" s="70">
        <v>9160.27</v>
      </c>
      <c r="S89" s="70">
        <v>5308.14</v>
      </c>
      <c r="T89" s="71">
        <f>SUM(D89:S89)</f>
        <v>65875.64</v>
      </c>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row>
    <row r="90" spans="1:60" s="56" customFormat="1" x14ac:dyDescent="0.25">
      <c r="A90" s="31" t="s">
        <v>90</v>
      </c>
      <c r="B90" s="57">
        <v>44824</v>
      </c>
      <c r="C90" s="58">
        <v>92</v>
      </c>
      <c r="D90" s="70">
        <v>2162.54</v>
      </c>
      <c r="E90" s="70">
        <v>3494.81</v>
      </c>
      <c r="F90" s="70">
        <v>9778.4500000000007</v>
      </c>
      <c r="G90" s="70">
        <v>2331.77</v>
      </c>
      <c r="H90" s="70">
        <v>0</v>
      </c>
      <c r="I90" s="70">
        <v>1993.31</v>
      </c>
      <c r="J90" s="70"/>
      <c r="K90" s="70">
        <v>2925.02</v>
      </c>
      <c r="L90" s="70">
        <v>0</v>
      </c>
      <c r="M90" s="70">
        <v>300.88</v>
      </c>
      <c r="N90" s="70">
        <v>1128.28</v>
      </c>
      <c r="O90" s="70">
        <v>2938.52</v>
      </c>
      <c r="P90" s="70">
        <v>184</v>
      </c>
      <c r="Q90" s="70">
        <v>0</v>
      </c>
      <c r="R90" s="70">
        <v>4455.01</v>
      </c>
      <c r="S90" s="70">
        <v>3147.49</v>
      </c>
      <c r="T90" s="71">
        <f>SUM(D90:S90)</f>
        <v>34840.080000000002</v>
      </c>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row>
    <row r="91" spans="1:60" s="56" customFormat="1" x14ac:dyDescent="0.25">
      <c r="A91" s="31" t="s">
        <v>91</v>
      </c>
      <c r="B91" s="57">
        <v>44799</v>
      </c>
      <c r="C91" s="58">
        <v>38</v>
      </c>
      <c r="D91" s="70">
        <v>2291.2600000000002</v>
      </c>
      <c r="E91" s="70">
        <v>1328.59</v>
      </c>
      <c r="F91" s="70">
        <v>9742.77</v>
      </c>
      <c r="G91" s="70">
        <v>924.21</v>
      </c>
      <c r="H91" s="70">
        <v>770.18</v>
      </c>
      <c r="I91" s="70">
        <v>847.2</v>
      </c>
      <c r="J91" s="70">
        <v>0</v>
      </c>
      <c r="K91" s="70">
        <v>0</v>
      </c>
      <c r="L91" s="70">
        <v>8.06</v>
      </c>
      <c r="M91" s="70">
        <v>269.57</v>
      </c>
      <c r="N91" s="70">
        <v>1309.3</v>
      </c>
      <c r="O91" s="70">
        <v>2657.76</v>
      </c>
      <c r="P91" s="70">
        <v>380</v>
      </c>
      <c r="Q91" s="70">
        <v>3062.96</v>
      </c>
      <c r="R91" s="70">
        <v>4186.84</v>
      </c>
      <c r="S91" s="70">
        <v>2625.42</v>
      </c>
      <c r="T91" s="71">
        <f>SUM(D91:S91)</f>
        <v>30404.120000000003</v>
      </c>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row>
    <row r="92" spans="1:60" s="56" customFormat="1" x14ac:dyDescent="0.25">
      <c r="A92" s="31" t="s">
        <v>92</v>
      </c>
      <c r="B92" s="57">
        <v>44782</v>
      </c>
      <c r="C92" s="58">
        <v>84</v>
      </c>
      <c r="D92" s="70">
        <v>6501.1</v>
      </c>
      <c r="E92" s="70">
        <v>3824.14</v>
      </c>
      <c r="F92" s="70">
        <v>28571.81</v>
      </c>
      <c r="G92" s="70">
        <v>4534.3999999999996</v>
      </c>
      <c r="H92" s="70">
        <v>3277.83</v>
      </c>
      <c r="I92" s="70">
        <v>2840.79</v>
      </c>
      <c r="J92" s="70">
        <v>0</v>
      </c>
      <c r="K92" s="70">
        <v>4184.0200000000004</v>
      </c>
      <c r="L92" s="70">
        <v>4.5</v>
      </c>
      <c r="M92" s="70">
        <v>0</v>
      </c>
      <c r="N92" s="70">
        <v>4425.1499999999996</v>
      </c>
      <c r="O92" s="70">
        <v>8576.17</v>
      </c>
      <c r="P92" s="70">
        <v>420</v>
      </c>
      <c r="Q92" s="70">
        <v>9447.7099999999991</v>
      </c>
      <c r="R92" s="70">
        <v>13710.35</v>
      </c>
      <c r="S92" s="70">
        <v>8031.17</v>
      </c>
      <c r="T92" s="71">
        <f>SUM(D92:S92)</f>
        <v>98349.140000000029</v>
      </c>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row>
    <row r="93" spans="1:60" s="56" customFormat="1" x14ac:dyDescent="0.25">
      <c r="A93" s="31" t="s">
        <v>93</v>
      </c>
      <c r="B93" s="57">
        <v>44799</v>
      </c>
      <c r="C93" s="58"/>
      <c r="D93" s="70"/>
      <c r="E93" s="70"/>
      <c r="F93" s="70"/>
      <c r="G93" s="70"/>
      <c r="H93" s="70"/>
      <c r="I93" s="70"/>
      <c r="J93" s="70"/>
      <c r="K93" s="70"/>
      <c r="L93" s="70"/>
      <c r="M93" s="70"/>
      <c r="N93" s="70"/>
      <c r="O93" s="70"/>
      <c r="P93" s="70"/>
      <c r="Q93" s="70"/>
      <c r="R93" s="70"/>
      <c r="S93" s="70"/>
      <c r="T93" s="71"/>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row>
    <row r="94" spans="1:60" s="56" customFormat="1" x14ac:dyDescent="0.25">
      <c r="A94" s="31" t="s">
        <v>94</v>
      </c>
      <c r="B94" s="57">
        <v>44790</v>
      </c>
      <c r="C94" s="58"/>
      <c r="D94" s="70"/>
      <c r="E94" s="70"/>
      <c r="F94" s="70"/>
      <c r="G94" s="70"/>
      <c r="H94" s="70"/>
      <c r="I94" s="70"/>
      <c r="J94" s="70"/>
      <c r="K94" s="70"/>
      <c r="L94" s="70"/>
      <c r="M94" s="70"/>
      <c r="N94" s="70"/>
      <c r="O94" s="70"/>
      <c r="P94" s="70"/>
      <c r="Q94" s="70"/>
      <c r="R94" s="70"/>
      <c r="S94" s="70"/>
      <c r="T94" s="71"/>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row>
    <row r="95" spans="1:60" s="56" customFormat="1" x14ac:dyDescent="0.25">
      <c r="A95" s="31" t="s">
        <v>95</v>
      </c>
      <c r="B95" s="57">
        <v>44763</v>
      </c>
      <c r="C95" s="58"/>
      <c r="D95" s="70"/>
      <c r="E95" s="70"/>
      <c r="F95" s="70"/>
      <c r="G95" s="70"/>
      <c r="H95" s="70"/>
      <c r="I95" s="70"/>
      <c r="J95" s="70"/>
      <c r="K95" s="70"/>
      <c r="L95" s="70"/>
      <c r="M95" s="70"/>
      <c r="N95" s="70"/>
      <c r="O95" s="70"/>
      <c r="P95" s="70"/>
      <c r="Q95" s="70"/>
      <c r="R95" s="70"/>
      <c r="S95" s="70"/>
      <c r="T95" s="71"/>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row>
    <row r="96" spans="1:60" s="56" customFormat="1" x14ac:dyDescent="0.25">
      <c r="A96" s="31" t="s">
        <v>96</v>
      </c>
      <c r="B96" s="57">
        <v>44778</v>
      </c>
      <c r="C96" s="58">
        <v>20</v>
      </c>
      <c r="D96" s="70">
        <v>1604.94</v>
      </c>
      <c r="E96" s="70">
        <v>1996.08</v>
      </c>
      <c r="F96" s="70">
        <v>5421.77</v>
      </c>
      <c r="G96" s="70">
        <v>1254.3</v>
      </c>
      <c r="H96" s="70">
        <v>674.35</v>
      </c>
      <c r="I96" s="70">
        <v>548.91</v>
      </c>
      <c r="J96" s="70">
        <v>0</v>
      </c>
      <c r="K96" s="70">
        <v>476.24</v>
      </c>
      <c r="L96" s="70">
        <v>0</v>
      </c>
      <c r="M96" s="70">
        <v>202.29</v>
      </c>
      <c r="N96" s="70">
        <v>0</v>
      </c>
      <c r="O96" s="70">
        <v>1877.11</v>
      </c>
      <c r="P96" s="70">
        <v>180</v>
      </c>
      <c r="Q96" s="70">
        <v>1981.58</v>
      </c>
      <c r="R96" s="70">
        <v>2832.1</v>
      </c>
      <c r="S96" s="70">
        <v>1716.03</v>
      </c>
      <c r="T96" s="71">
        <f>SUM(D96:S96)</f>
        <v>20765.7</v>
      </c>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row>
    <row r="97" spans="1:60" s="56" customFormat="1" x14ac:dyDescent="0.25">
      <c r="A97" s="31" t="s">
        <v>97</v>
      </c>
      <c r="B97" s="57">
        <v>44861</v>
      </c>
      <c r="C97" s="58">
        <v>40</v>
      </c>
      <c r="D97" s="70">
        <v>1698.42</v>
      </c>
      <c r="E97" s="70">
        <v>1084.71</v>
      </c>
      <c r="F97" s="70">
        <v>7792.82</v>
      </c>
      <c r="G97" s="70">
        <v>1398.72</v>
      </c>
      <c r="H97" s="70">
        <v>642.27</v>
      </c>
      <c r="I97" s="70">
        <v>699.37</v>
      </c>
      <c r="J97" s="70">
        <v>0</v>
      </c>
      <c r="K97" s="70">
        <v>0</v>
      </c>
      <c r="L97" s="70">
        <v>24.76</v>
      </c>
      <c r="M97" s="70">
        <v>128.47</v>
      </c>
      <c r="N97" s="70">
        <v>0</v>
      </c>
      <c r="O97" s="70">
        <v>1939.9</v>
      </c>
      <c r="P97" s="70">
        <v>0</v>
      </c>
      <c r="Q97" s="70">
        <v>2352.36</v>
      </c>
      <c r="R97" s="70">
        <v>3244.39</v>
      </c>
      <c r="S97" s="70">
        <v>1982.23</v>
      </c>
      <c r="T97" s="71">
        <f>SUM(D97:S97)</f>
        <v>22988.42</v>
      </c>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row>
    <row r="98" spans="1:60" s="56" customFormat="1" x14ac:dyDescent="0.25">
      <c r="A98" s="31" t="s">
        <v>98</v>
      </c>
      <c r="B98" s="57">
        <v>44756</v>
      </c>
      <c r="C98" s="58"/>
      <c r="D98" s="70"/>
      <c r="E98" s="70"/>
      <c r="F98" s="70"/>
      <c r="G98" s="70"/>
      <c r="H98" s="70"/>
      <c r="I98" s="70"/>
      <c r="J98" s="70"/>
      <c r="K98" s="70"/>
      <c r="L98" s="70"/>
      <c r="M98" s="70"/>
      <c r="N98" s="70"/>
      <c r="O98" s="70"/>
      <c r="P98" s="70"/>
      <c r="Q98" s="70"/>
      <c r="R98" s="70"/>
      <c r="S98" s="70"/>
      <c r="T98" s="71"/>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row>
    <row r="99" spans="1:60" s="56" customFormat="1" x14ac:dyDescent="0.25">
      <c r="A99" s="31" t="s">
        <v>99</v>
      </c>
      <c r="B99" s="57">
        <v>44769</v>
      </c>
      <c r="C99" s="58">
        <v>39</v>
      </c>
      <c r="D99" s="70">
        <v>5112.6099999999997</v>
      </c>
      <c r="E99" s="70">
        <v>5370.43</v>
      </c>
      <c r="F99" s="70">
        <v>28914.07</v>
      </c>
      <c r="G99" s="70">
        <v>4639.99</v>
      </c>
      <c r="H99" s="70">
        <v>2405.92</v>
      </c>
      <c r="I99" s="70">
        <v>2277.0500000000002</v>
      </c>
      <c r="J99" s="70">
        <v>0</v>
      </c>
      <c r="K99" s="70">
        <v>1506.58</v>
      </c>
      <c r="L99" s="70"/>
      <c r="M99" s="70">
        <v>687.4</v>
      </c>
      <c r="N99" s="70">
        <v>0</v>
      </c>
      <c r="O99" s="70">
        <v>6713.11</v>
      </c>
      <c r="P99" s="70">
        <v>585</v>
      </c>
      <c r="Q99" s="70"/>
      <c r="R99" s="70">
        <v>10260.83</v>
      </c>
      <c r="S99" s="70">
        <v>5676.43</v>
      </c>
      <c r="T99" s="71">
        <f>SUM(D99:S99)</f>
        <v>74149.420000000013</v>
      </c>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row>
    <row r="100" spans="1:60" s="56" customFormat="1" x14ac:dyDescent="0.25">
      <c r="A100" s="31" t="s">
        <v>100</v>
      </c>
      <c r="B100" s="80">
        <v>44854</v>
      </c>
      <c r="C100" s="58">
        <v>0</v>
      </c>
      <c r="D100" s="70">
        <v>0</v>
      </c>
      <c r="E100" s="70">
        <v>0</v>
      </c>
      <c r="F100" s="70">
        <v>0</v>
      </c>
      <c r="G100" s="70">
        <v>0</v>
      </c>
      <c r="H100" s="70">
        <v>0</v>
      </c>
      <c r="I100" s="70">
        <v>0</v>
      </c>
      <c r="J100" s="70">
        <v>0</v>
      </c>
      <c r="K100" s="70">
        <v>0</v>
      </c>
      <c r="L100" s="70">
        <v>0</v>
      </c>
      <c r="M100" s="70">
        <v>0</v>
      </c>
      <c r="N100" s="70">
        <v>0</v>
      </c>
      <c r="O100" s="70">
        <v>0</v>
      </c>
      <c r="P100" s="70">
        <v>0</v>
      </c>
      <c r="Q100" s="70">
        <v>0</v>
      </c>
      <c r="R100" s="70">
        <v>0</v>
      </c>
      <c r="S100" s="70">
        <v>0</v>
      </c>
      <c r="T100" s="71">
        <v>0</v>
      </c>
      <c r="U100" s="60"/>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row>
    <row r="101" spans="1:60" s="56" customFormat="1" x14ac:dyDescent="0.25">
      <c r="A101" s="31" t="s">
        <v>101</v>
      </c>
      <c r="B101" s="57">
        <v>44763</v>
      </c>
      <c r="C101" s="58">
        <v>41</v>
      </c>
      <c r="D101" s="70">
        <v>2082.52</v>
      </c>
      <c r="E101" s="70">
        <v>3292</v>
      </c>
      <c r="F101" s="70">
        <v>11548.24</v>
      </c>
      <c r="G101" s="70">
        <v>2116.65</v>
      </c>
      <c r="H101" s="70">
        <v>1014.58</v>
      </c>
      <c r="I101" s="70">
        <v>1831.13</v>
      </c>
      <c r="J101" s="70">
        <v>349.86</v>
      </c>
      <c r="K101" s="70">
        <v>248.94</v>
      </c>
      <c r="L101" s="70"/>
      <c r="M101" s="70">
        <v>244.92</v>
      </c>
      <c r="N101" s="70">
        <v>1624.83</v>
      </c>
      <c r="O101" s="70">
        <v>3078.34</v>
      </c>
      <c r="P101" s="70">
        <v>82</v>
      </c>
      <c r="Q101" s="70"/>
      <c r="R101" s="70">
        <v>4747.74</v>
      </c>
      <c r="S101" s="70">
        <v>2988.87</v>
      </c>
      <c r="T101" s="71">
        <f>SUM(D101:S101)</f>
        <v>35250.62000000001</v>
      </c>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row>
    <row r="102" spans="1:60" s="56" customFormat="1" x14ac:dyDescent="0.25">
      <c r="A102" s="31" t="s">
        <v>143</v>
      </c>
      <c r="B102" s="57">
        <v>44861</v>
      </c>
      <c r="C102" s="58"/>
      <c r="D102" s="70"/>
      <c r="E102" s="70"/>
      <c r="F102" s="70"/>
      <c r="G102" s="70"/>
      <c r="H102" s="70"/>
      <c r="I102" s="70"/>
      <c r="J102" s="70"/>
      <c r="K102" s="70"/>
      <c r="L102" s="70"/>
      <c r="M102" s="70"/>
      <c r="N102" s="70"/>
      <c r="O102" s="70"/>
      <c r="P102" s="70"/>
      <c r="Q102" s="70"/>
      <c r="R102" s="70"/>
      <c r="S102" s="70"/>
      <c r="T102" s="71"/>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row>
    <row r="103" spans="1:60" s="56" customFormat="1" ht="15.75" customHeight="1" x14ac:dyDescent="0.25">
      <c r="A103" s="31" t="s">
        <v>103</v>
      </c>
      <c r="B103" s="57">
        <v>44840</v>
      </c>
      <c r="C103" s="58"/>
      <c r="D103" s="70"/>
      <c r="E103" s="70"/>
      <c r="F103" s="70"/>
      <c r="G103" s="70"/>
      <c r="H103" s="70"/>
      <c r="I103" s="70"/>
      <c r="J103" s="70"/>
      <c r="K103" s="70"/>
      <c r="L103" s="70"/>
      <c r="M103" s="70"/>
      <c r="N103" s="70"/>
      <c r="O103" s="70"/>
      <c r="P103" s="70"/>
      <c r="Q103" s="70"/>
      <c r="R103" s="70"/>
      <c r="S103" s="70"/>
      <c r="T103" s="71"/>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row>
    <row r="104" spans="1:60" s="56" customFormat="1" x14ac:dyDescent="0.25">
      <c r="A104" s="31" t="s">
        <v>104</v>
      </c>
      <c r="B104" s="57">
        <v>44846</v>
      </c>
      <c r="C104" s="58"/>
      <c r="D104" s="70"/>
      <c r="E104" s="70"/>
      <c r="F104" s="70"/>
      <c r="G104" s="70"/>
      <c r="H104" s="70"/>
      <c r="I104" s="70"/>
      <c r="J104" s="70"/>
      <c r="K104" s="70"/>
      <c r="L104" s="72"/>
      <c r="M104" s="70"/>
      <c r="N104" s="70"/>
      <c r="O104" s="70"/>
      <c r="P104" s="70"/>
      <c r="Q104" s="70"/>
      <c r="R104" s="70"/>
      <c r="S104" s="70"/>
      <c r="T104" s="71"/>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row>
    <row r="105" spans="1:60" s="56" customFormat="1" x14ac:dyDescent="0.25">
      <c r="A105" s="31" t="s">
        <v>105</v>
      </c>
      <c r="B105" s="57">
        <v>44791</v>
      </c>
      <c r="C105" s="58">
        <v>138</v>
      </c>
      <c r="D105" s="70">
        <v>13034.13</v>
      </c>
      <c r="E105" s="70">
        <v>5257.44</v>
      </c>
      <c r="F105" s="70">
        <v>52104.1</v>
      </c>
      <c r="G105" s="70">
        <v>7228.98</v>
      </c>
      <c r="H105" s="70">
        <v>3285.9</v>
      </c>
      <c r="I105" s="70">
        <v>1752.48</v>
      </c>
      <c r="J105" s="70">
        <v>0</v>
      </c>
      <c r="K105" s="70">
        <v>0</v>
      </c>
      <c r="L105" s="70">
        <v>0</v>
      </c>
      <c r="M105" s="70">
        <v>0</v>
      </c>
      <c r="N105" s="70">
        <v>0</v>
      </c>
      <c r="O105" s="70">
        <v>12097.7</v>
      </c>
      <c r="P105" s="70">
        <v>1932</v>
      </c>
      <c r="Q105" s="70">
        <v>13417.54</v>
      </c>
      <c r="R105" s="70">
        <v>19216.09</v>
      </c>
      <c r="S105" s="70">
        <v>11678.08</v>
      </c>
      <c r="T105" s="71">
        <f>SUM(D105:S105)</f>
        <v>141004.43999999997</v>
      </c>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row>
    <row r="106" spans="1:60" s="56" customFormat="1" x14ac:dyDescent="0.25">
      <c r="A106" s="31" t="s">
        <v>106</v>
      </c>
      <c r="B106" s="57">
        <v>44789</v>
      </c>
      <c r="C106" s="58">
        <v>3</v>
      </c>
      <c r="D106" s="70">
        <v>151.88</v>
      </c>
      <c r="E106" s="70">
        <v>181.24</v>
      </c>
      <c r="F106" s="70">
        <v>864.08</v>
      </c>
      <c r="G106" s="70">
        <v>201.66</v>
      </c>
      <c r="H106" s="70">
        <v>95.72</v>
      </c>
      <c r="I106" s="70">
        <v>153.16</v>
      </c>
      <c r="J106" s="70">
        <v>0</v>
      </c>
      <c r="K106" s="70">
        <v>0</v>
      </c>
      <c r="L106" s="70">
        <v>0</v>
      </c>
      <c r="M106" s="70">
        <v>49.77</v>
      </c>
      <c r="N106" s="70">
        <v>0</v>
      </c>
      <c r="O106" s="70">
        <v>263.70999999999998</v>
      </c>
      <c r="P106" s="70">
        <v>85.05</v>
      </c>
      <c r="Q106" s="70">
        <v>254.99</v>
      </c>
      <c r="R106" s="70">
        <v>390.5</v>
      </c>
      <c r="S106" s="70">
        <v>240.25</v>
      </c>
      <c r="T106" s="71">
        <f>SUM(D106:S106)</f>
        <v>2932.01</v>
      </c>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row>
    <row r="107" spans="1:60" s="56" customFormat="1" x14ac:dyDescent="0.25">
      <c r="A107" s="31" t="s">
        <v>107</v>
      </c>
      <c r="B107" s="57">
        <v>44789</v>
      </c>
      <c r="C107" s="58">
        <v>66</v>
      </c>
      <c r="D107" s="70">
        <v>4271.1000000000004</v>
      </c>
      <c r="E107" s="70">
        <v>2842.41</v>
      </c>
      <c r="F107" s="70">
        <v>15505.19</v>
      </c>
      <c r="G107" s="70">
        <v>2907.23</v>
      </c>
      <c r="H107" s="70">
        <v>2512.41</v>
      </c>
      <c r="I107" s="70">
        <v>1651.01</v>
      </c>
      <c r="J107" s="70"/>
      <c r="K107" s="70">
        <v>11.72</v>
      </c>
      <c r="L107" s="70">
        <v>0</v>
      </c>
      <c r="M107" s="70">
        <v>277.81</v>
      </c>
      <c r="N107" s="70">
        <v>0</v>
      </c>
      <c r="O107" s="70">
        <v>3966.54</v>
      </c>
      <c r="P107" s="70">
        <v>330</v>
      </c>
      <c r="Q107" s="70">
        <v>4156.3999999999996</v>
      </c>
      <c r="R107" s="70">
        <v>5938.64</v>
      </c>
      <c r="S107" s="70">
        <v>3869.39</v>
      </c>
      <c r="T107" s="71">
        <f>SUM(D107:S107)</f>
        <v>48239.85</v>
      </c>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row>
    <row r="108" spans="1:60" s="56" customFormat="1" x14ac:dyDescent="0.25">
      <c r="A108" s="31" t="s">
        <v>108</v>
      </c>
      <c r="B108" s="57">
        <v>44797</v>
      </c>
      <c r="C108" s="58">
        <v>27</v>
      </c>
      <c r="D108" s="70">
        <v>1894.51</v>
      </c>
      <c r="E108" s="70">
        <v>1114.45</v>
      </c>
      <c r="F108" s="70">
        <v>8740.25</v>
      </c>
      <c r="G108" s="70">
        <v>1639.79</v>
      </c>
      <c r="H108" s="70">
        <v>716.39</v>
      </c>
      <c r="I108" s="70"/>
      <c r="J108" s="70"/>
      <c r="K108" s="70"/>
      <c r="L108" s="70">
        <v>0.52</v>
      </c>
      <c r="M108" s="70">
        <v>0</v>
      </c>
      <c r="N108" s="70">
        <v>0</v>
      </c>
      <c r="O108" s="70">
        <v>2187.0700000000002</v>
      </c>
      <c r="P108" s="70">
        <v>270</v>
      </c>
      <c r="Q108" s="70">
        <v>2126.63</v>
      </c>
      <c r="R108" s="70">
        <v>3300.51</v>
      </c>
      <c r="S108" s="70">
        <v>2028.25</v>
      </c>
      <c r="T108" s="71">
        <f>SUM(D108:S108)</f>
        <v>24018.370000000003</v>
      </c>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row>
    <row r="109" spans="1:60" s="56" customFormat="1" x14ac:dyDescent="0.25">
      <c r="A109" s="31" t="s">
        <v>109</v>
      </c>
      <c r="B109" s="57">
        <v>44768</v>
      </c>
      <c r="C109" s="58"/>
      <c r="D109" s="70"/>
      <c r="E109" s="70"/>
      <c r="F109" s="70"/>
      <c r="G109" s="70"/>
      <c r="H109" s="70"/>
      <c r="I109" s="70"/>
      <c r="J109" s="70"/>
      <c r="K109" s="70"/>
      <c r="L109" s="70"/>
      <c r="M109" s="70"/>
      <c r="N109" s="70"/>
      <c r="O109" s="70"/>
      <c r="P109" s="70"/>
      <c r="Q109" s="70"/>
      <c r="R109" s="70"/>
      <c r="S109" s="70"/>
      <c r="T109" s="71"/>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row>
    <row r="110" spans="1:60" s="56" customFormat="1" x14ac:dyDescent="0.25">
      <c r="A110" s="31" t="s">
        <v>110</v>
      </c>
      <c r="B110" s="57">
        <v>44788</v>
      </c>
      <c r="C110" s="58">
        <v>74</v>
      </c>
      <c r="D110" s="70">
        <v>11391.95</v>
      </c>
      <c r="E110" s="70">
        <v>5935.3</v>
      </c>
      <c r="F110" s="70">
        <v>55619.55</v>
      </c>
      <c r="G110" s="70">
        <v>5073.71</v>
      </c>
      <c r="H110" s="70">
        <v>4212.18</v>
      </c>
      <c r="I110" s="70">
        <v>1723.12</v>
      </c>
      <c r="J110" s="70">
        <v>0</v>
      </c>
      <c r="K110" s="70">
        <v>0</v>
      </c>
      <c r="L110" s="70"/>
      <c r="M110" s="70"/>
      <c r="N110" s="70"/>
      <c r="O110" s="70">
        <v>12089.43</v>
      </c>
      <c r="P110" s="70">
        <v>1554</v>
      </c>
      <c r="Q110" s="70">
        <v>13617.56</v>
      </c>
      <c r="R110" s="70">
        <v>19662.7</v>
      </c>
      <c r="S110" s="70">
        <v>10867.35</v>
      </c>
      <c r="T110" s="71">
        <f t="shared" ref="T110:T117" si="3">SUM(D110:S110)</f>
        <v>141746.84999999998</v>
      </c>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row>
    <row r="111" spans="1:60" s="56" customFormat="1" x14ac:dyDescent="0.25">
      <c r="A111" s="31" t="s">
        <v>111</v>
      </c>
      <c r="B111" s="57">
        <v>44804</v>
      </c>
      <c r="C111" s="58">
        <v>48</v>
      </c>
      <c r="D111" s="70">
        <v>5945.58</v>
      </c>
      <c r="E111" s="70">
        <v>5346.02</v>
      </c>
      <c r="F111" s="70">
        <v>36522.620000000003</v>
      </c>
      <c r="G111" s="70">
        <v>1648.74</v>
      </c>
      <c r="H111" s="70">
        <v>1873.56</v>
      </c>
      <c r="I111" s="70">
        <v>999.25</v>
      </c>
      <c r="J111" s="70"/>
      <c r="K111" s="70">
        <v>2966.55</v>
      </c>
      <c r="L111" s="70">
        <v>1398.64</v>
      </c>
      <c r="M111" s="70">
        <v>499.63</v>
      </c>
      <c r="N111" s="70"/>
      <c r="O111" s="70">
        <v>7755.38</v>
      </c>
      <c r="P111" s="70">
        <v>768</v>
      </c>
      <c r="Q111" s="70">
        <v>8547.15</v>
      </c>
      <c r="R111" s="70">
        <v>13245.62</v>
      </c>
      <c r="S111" s="70">
        <v>7294.79</v>
      </c>
      <c r="T111" s="71">
        <f t="shared" si="3"/>
        <v>94811.529999999984</v>
      </c>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row>
    <row r="112" spans="1:60" s="56" customFormat="1" x14ac:dyDescent="0.25">
      <c r="A112" s="31" t="s">
        <v>112</v>
      </c>
      <c r="B112" s="57">
        <v>44818</v>
      </c>
      <c r="C112" s="58">
        <v>25</v>
      </c>
      <c r="D112" s="70">
        <v>2654.89</v>
      </c>
      <c r="E112" s="70">
        <v>2231</v>
      </c>
      <c r="F112" s="70">
        <v>11913.54</v>
      </c>
      <c r="G112" s="70">
        <v>1338.6</v>
      </c>
      <c r="H112" s="70">
        <v>0</v>
      </c>
      <c r="I112" s="70">
        <v>423.89</v>
      </c>
      <c r="J112" s="70">
        <v>0</v>
      </c>
      <c r="K112" s="70">
        <v>0</v>
      </c>
      <c r="L112" s="70">
        <v>0</v>
      </c>
      <c r="M112" s="70">
        <v>0</v>
      </c>
      <c r="N112" s="70">
        <v>803.16</v>
      </c>
      <c r="O112" s="70">
        <v>2869.46</v>
      </c>
      <c r="P112" s="70">
        <v>250</v>
      </c>
      <c r="Q112" s="70">
        <v>3145.18</v>
      </c>
      <c r="R112" s="70">
        <v>4552.0600000000004</v>
      </c>
      <c r="S112" s="70">
        <v>2626.01</v>
      </c>
      <c r="T112" s="71">
        <f t="shared" si="3"/>
        <v>32807.79</v>
      </c>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row>
    <row r="113" spans="1:68" s="56" customFormat="1" x14ac:dyDescent="0.25">
      <c r="A113" s="31" t="s">
        <v>113</v>
      </c>
      <c r="B113" s="57">
        <v>44817</v>
      </c>
      <c r="C113" s="58">
        <v>19</v>
      </c>
      <c r="D113" s="70">
        <v>2363.73</v>
      </c>
      <c r="E113" s="70">
        <v>1450.02</v>
      </c>
      <c r="F113" s="70">
        <v>12295.41</v>
      </c>
      <c r="G113" s="70">
        <v>913.72</v>
      </c>
      <c r="H113" s="70">
        <v>794.53</v>
      </c>
      <c r="I113" s="70">
        <v>681.35</v>
      </c>
      <c r="J113" s="70">
        <v>0</v>
      </c>
      <c r="K113" s="70">
        <v>1418.31</v>
      </c>
      <c r="L113" s="70"/>
      <c r="M113" s="70">
        <v>172.83</v>
      </c>
      <c r="N113" s="70">
        <v>0</v>
      </c>
      <c r="O113" s="70">
        <v>2930.63</v>
      </c>
      <c r="P113" s="70">
        <v>513</v>
      </c>
      <c r="Q113" s="70">
        <v>3512.15</v>
      </c>
      <c r="R113" s="70">
        <v>4722.07</v>
      </c>
      <c r="S113" s="70">
        <v>2646.02</v>
      </c>
      <c r="T113" s="71">
        <f t="shared" si="3"/>
        <v>34413.770000000004</v>
      </c>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row>
    <row r="114" spans="1:68" s="67" customFormat="1" x14ac:dyDescent="0.25">
      <c r="A114" s="31" t="s">
        <v>114</v>
      </c>
      <c r="B114" s="57">
        <v>44797</v>
      </c>
      <c r="C114" s="58">
        <v>34</v>
      </c>
      <c r="D114" s="70">
        <v>7278.4</v>
      </c>
      <c r="E114" s="70">
        <v>5314.72</v>
      </c>
      <c r="F114" s="70">
        <v>33447.54</v>
      </c>
      <c r="G114" s="70">
        <v>4831.68</v>
      </c>
      <c r="H114" s="70">
        <v>1987.81</v>
      </c>
      <c r="I114" s="70">
        <v>2691.17</v>
      </c>
      <c r="J114" s="70">
        <v>4709.53</v>
      </c>
      <c r="K114" s="70">
        <v>1.33</v>
      </c>
      <c r="L114" s="70">
        <v>0</v>
      </c>
      <c r="M114" s="70">
        <v>0</v>
      </c>
      <c r="N114" s="70">
        <v>0</v>
      </c>
      <c r="O114" s="70">
        <v>7657.03</v>
      </c>
      <c r="P114" s="70">
        <v>68</v>
      </c>
      <c r="Q114" s="70">
        <v>0</v>
      </c>
      <c r="R114" s="70">
        <v>11943.69</v>
      </c>
      <c r="S114" s="70">
        <v>681.81</v>
      </c>
      <c r="T114" s="71">
        <f t="shared" si="3"/>
        <v>80612.710000000006</v>
      </c>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row>
    <row r="115" spans="1:68" s="67" customFormat="1" x14ac:dyDescent="0.25">
      <c r="A115" s="31" t="s">
        <v>115</v>
      </c>
      <c r="B115" s="57">
        <v>44812</v>
      </c>
      <c r="C115" s="58">
        <v>14</v>
      </c>
      <c r="D115" s="70">
        <v>901</v>
      </c>
      <c r="E115" s="70">
        <v>749.57</v>
      </c>
      <c r="F115" s="70">
        <v>3452.56</v>
      </c>
      <c r="G115" s="70">
        <v>477.01</v>
      </c>
      <c r="H115" s="70">
        <v>325.58</v>
      </c>
      <c r="I115" s="70">
        <v>287.73</v>
      </c>
      <c r="J115" s="70">
        <v>0</v>
      </c>
      <c r="K115" s="70">
        <v>2.98</v>
      </c>
      <c r="L115" s="70">
        <v>148.05000000000001</v>
      </c>
      <c r="M115" s="28">
        <v>170.14</v>
      </c>
      <c r="N115" s="70">
        <v>0</v>
      </c>
      <c r="O115" s="70">
        <v>828.67</v>
      </c>
      <c r="P115" s="70">
        <v>14</v>
      </c>
      <c r="Q115" s="70"/>
      <c r="R115" s="70">
        <v>1302.93</v>
      </c>
      <c r="S115" s="70">
        <v>791.47</v>
      </c>
      <c r="T115" s="83">
        <f t="shared" si="3"/>
        <v>9451.69</v>
      </c>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row>
    <row r="116" spans="1:68" s="56" customFormat="1" x14ac:dyDescent="0.25">
      <c r="A116" s="31" t="s">
        <v>116</v>
      </c>
      <c r="B116" s="57">
        <v>44761</v>
      </c>
      <c r="C116" s="58">
        <v>54</v>
      </c>
      <c r="D116" s="70">
        <v>4571.66</v>
      </c>
      <c r="E116" s="70">
        <v>2672.13</v>
      </c>
      <c r="F116" s="70">
        <v>18304.060000000001</v>
      </c>
      <c r="G116" s="70">
        <v>1636.72</v>
      </c>
      <c r="H116" s="70">
        <v>0</v>
      </c>
      <c r="I116" s="70">
        <v>0</v>
      </c>
      <c r="J116" s="70">
        <v>3340.17</v>
      </c>
      <c r="K116" s="70">
        <v>8.76</v>
      </c>
      <c r="L116" s="70"/>
      <c r="M116" s="70"/>
      <c r="N116" s="70">
        <v>3841.7</v>
      </c>
      <c r="O116" s="70">
        <v>5290.3</v>
      </c>
      <c r="P116" s="70"/>
      <c r="Q116" s="70">
        <v>5162.6000000000004</v>
      </c>
      <c r="R116" s="70">
        <v>7909.04</v>
      </c>
      <c r="S116" s="70">
        <v>6114.56</v>
      </c>
      <c r="T116" s="71">
        <f t="shared" si="3"/>
        <v>58851.700000000004</v>
      </c>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row>
    <row r="117" spans="1:68" s="56" customFormat="1" x14ac:dyDescent="0.25">
      <c r="A117" s="31" t="s">
        <v>117</v>
      </c>
      <c r="B117" s="57">
        <v>44761</v>
      </c>
      <c r="C117" s="58">
        <v>21</v>
      </c>
      <c r="D117" s="70">
        <v>1054.58</v>
      </c>
      <c r="E117" s="70">
        <v>6690.82</v>
      </c>
      <c r="F117" s="70">
        <v>974.82</v>
      </c>
      <c r="G117" s="70">
        <v>354.48</v>
      </c>
      <c r="H117" s="70">
        <v>385.95</v>
      </c>
      <c r="I117" s="70">
        <v>0</v>
      </c>
      <c r="J117" s="70"/>
      <c r="K117" s="70">
        <v>3.27</v>
      </c>
      <c r="L117" s="70">
        <v>15.29</v>
      </c>
      <c r="M117" s="70">
        <v>0</v>
      </c>
      <c r="N117" s="70">
        <v>1575.81</v>
      </c>
      <c r="O117" s="70">
        <v>210</v>
      </c>
      <c r="P117" s="70">
        <v>1399.98</v>
      </c>
      <c r="Q117" s="70">
        <v>2314.0700000000002</v>
      </c>
      <c r="R117" s="70">
        <v>1472.04</v>
      </c>
      <c r="S117" s="71"/>
      <c r="T117" s="83">
        <f t="shared" si="3"/>
        <v>16451.11</v>
      </c>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row>
    <row r="118" spans="1:68" s="56" customFormat="1" x14ac:dyDescent="0.25">
      <c r="A118" s="31" t="s">
        <v>118</v>
      </c>
      <c r="B118" s="57">
        <v>44824</v>
      </c>
      <c r="C118" s="58"/>
      <c r="D118" s="70"/>
      <c r="E118" s="70"/>
      <c r="F118" s="70"/>
      <c r="G118" s="70"/>
      <c r="H118" s="70"/>
      <c r="I118" s="70"/>
      <c r="J118" s="70"/>
      <c r="K118" s="70"/>
      <c r="L118" s="70"/>
      <c r="M118" s="70"/>
      <c r="N118" s="70"/>
      <c r="O118" s="70"/>
      <c r="P118" s="70"/>
      <c r="Q118" s="70"/>
      <c r="R118" s="70"/>
      <c r="S118" s="70"/>
      <c r="T118" s="71"/>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row>
    <row r="119" spans="1:68" s="56" customFormat="1" x14ac:dyDescent="0.25">
      <c r="A119" s="31" t="s">
        <v>119</v>
      </c>
      <c r="B119" s="57">
        <v>44825</v>
      </c>
      <c r="C119" s="58">
        <v>142</v>
      </c>
      <c r="D119" s="70">
        <v>19668.77</v>
      </c>
      <c r="E119" s="70">
        <v>23966.27</v>
      </c>
      <c r="F119" s="70">
        <v>56737.24</v>
      </c>
      <c r="G119" s="70">
        <v>6446.03</v>
      </c>
      <c r="H119" s="70">
        <v>4132.1499999999996</v>
      </c>
      <c r="I119" s="70">
        <v>991.7</v>
      </c>
      <c r="J119" s="70"/>
      <c r="K119" s="70">
        <v>3300</v>
      </c>
      <c r="L119" s="70">
        <v>1112.53</v>
      </c>
      <c r="M119" s="70">
        <v>417.82</v>
      </c>
      <c r="N119" s="70"/>
      <c r="O119" s="70">
        <v>16781.88</v>
      </c>
      <c r="P119" s="70">
        <v>4686</v>
      </c>
      <c r="Q119" s="70">
        <v>17486.52</v>
      </c>
      <c r="R119" s="70">
        <v>27135.85</v>
      </c>
      <c r="S119" s="70">
        <v>15555.95</v>
      </c>
      <c r="T119" s="71">
        <f>SUM(D119:S119)</f>
        <v>198418.71</v>
      </c>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row>
    <row r="120" spans="1:68" s="56" customFormat="1" x14ac:dyDescent="0.25">
      <c r="A120" s="31" t="s">
        <v>120</v>
      </c>
      <c r="B120" s="57">
        <v>44789</v>
      </c>
      <c r="C120" s="58">
        <v>21</v>
      </c>
      <c r="D120" s="70">
        <v>989.59</v>
      </c>
      <c r="E120" s="70">
        <v>698.52</v>
      </c>
      <c r="F120" s="70">
        <v>4923.0200000000004</v>
      </c>
      <c r="G120" s="70">
        <v>690.22</v>
      </c>
      <c r="H120" s="70">
        <v>190.24</v>
      </c>
      <c r="I120" s="70">
        <v>905.41</v>
      </c>
      <c r="J120" s="70">
        <v>0</v>
      </c>
      <c r="K120" s="70">
        <v>765</v>
      </c>
      <c r="L120" s="70">
        <v>93.04</v>
      </c>
      <c r="M120" s="70">
        <v>0</v>
      </c>
      <c r="N120" s="70">
        <v>0</v>
      </c>
      <c r="O120" s="70">
        <v>1369.49</v>
      </c>
      <c r="P120" s="70">
        <v>399</v>
      </c>
      <c r="Q120" s="70">
        <v>1387.5</v>
      </c>
      <c r="R120" s="70">
        <v>2170.5100000000002</v>
      </c>
      <c r="S120" s="70">
        <v>1379.24</v>
      </c>
      <c r="T120" s="71">
        <f>SUM(D120:S120)</f>
        <v>15960.780000000002</v>
      </c>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row>
    <row r="121" spans="1:68" s="56" customFormat="1" x14ac:dyDescent="0.25">
      <c r="A121" s="31" t="s">
        <v>121</v>
      </c>
      <c r="B121" s="80">
        <v>44824</v>
      </c>
      <c r="C121" s="58">
        <v>38</v>
      </c>
      <c r="D121" s="70">
        <v>2986.45</v>
      </c>
      <c r="E121" s="70">
        <v>3162.14</v>
      </c>
      <c r="F121" s="70">
        <v>12171.69</v>
      </c>
      <c r="G121" s="70">
        <v>2233.56</v>
      </c>
      <c r="H121" s="70">
        <v>878.38</v>
      </c>
      <c r="I121" s="70">
        <v>2258.66</v>
      </c>
      <c r="J121" s="70">
        <v>0</v>
      </c>
      <c r="K121" s="70"/>
      <c r="L121" s="70">
        <v>5.55</v>
      </c>
      <c r="M121" s="70">
        <v>376.45</v>
      </c>
      <c r="N121" s="70">
        <v>50</v>
      </c>
      <c r="O121" s="70">
        <v>3747.63</v>
      </c>
      <c r="P121" s="70">
        <v>152</v>
      </c>
      <c r="Q121" s="70">
        <v>3926.42</v>
      </c>
      <c r="R121" s="70">
        <v>5685.85</v>
      </c>
      <c r="S121" s="70">
        <v>3374.92</v>
      </c>
      <c r="T121" s="71">
        <f>SUM(D121:S121)</f>
        <v>41009.699999999997</v>
      </c>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row>
    <row r="122" spans="1:68" s="56" customFormat="1" x14ac:dyDescent="0.25">
      <c r="A122" s="31" t="s">
        <v>122</v>
      </c>
      <c r="B122" s="57">
        <v>44790</v>
      </c>
      <c r="C122" s="58"/>
      <c r="D122" s="70"/>
      <c r="E122" s="70"/>
      <c r="F122" s="70"/>
      <c r="G122" s="70"/>
      <c r="H122" s="70"/>
      <c r="I122" s="70"/>
      <c r="J122" s="70"/>
      <c r="K122" s="70"/>
      <c r="L122" s="70"/>
      <c r="M122" s="70"/>
      <c r="N122" s="70"/>
      <c r="O122" s="70"/>
      <c r="P122" s="70"/>
      <c r="Q122" s="70"/>
      <c r="R122" s="70"/>
      <c r="S122" s="70"/>
      <c r="T122" s="71"/>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row>
    <row r="123" spans="1:68" s="56" customFormat="1" x14ac:dyDescent="0.25">
      <c r="A123" s="31" t="s">
        <v>142</v>
      </c>
      <c r="B123" s="57">
        <v>44783</v>
      </c>
      <c r="C123" s="58">
        <v>95</v>
      </c>
      <c r="D123" s="72">
        <v>8505.2900000000009</v>
      </c>
      <c r="E123" s="70">
        <v>5574.87</v>
      </c>
      <c r="F123" s="70">
        <v>27705.69</v>
      </c>
      <c r="G123" s="70">
        <v>3573.67</v>
      </c>
      <c r="H123" s="70">
        <v>2858.92</v>
      </c>
      <c r="I123" s="70">
        <v>3788.09</v>
      </c>
      <c r="J123" s="70">
        <v>0</v>
      </c>
      <c r="K123" s="70">
        <v>0</v>
      </c>
      <c r="L123" s="70">
        <v>19.98</v>
      </c>
      <c r="M123" s="70">
        <v>1000.62</v>
      </c>
      <c r="N123" s="70">
        <v>0</v>
      </c>
      <c r="O123" s="70">
        <v>8235.81</v>
      </c>
      <c r="P123" s="70">
        <v>1235</v>
      </c>
      <c r="Q123" s="70">
        <v>8631.01</v>
      </c>
      <c r="R123" s="70">
        <v>12521.61</v>
      </c>
      <c r="S123" s="70">
        <v>7590.8</v>
      </c>
      <c r="T123" s="71">
        <f>SUM(D123:S123)</f>
        <v>91241.36</v>
      </c>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row>
    <row r="124" spans="1:68" s="56" customFormat="1" x14ac:dyDescent="0.25">
      <c r="A124" s="31" t="s">
        <v>165</v>
      </c>
      <c r="B124" s="57">
        <v>44783</v>
      </c>
      <c r="C124" s="58">
        <v>46</v>
      </c>
      <c r="D124" s="72">
        <v>5606.99</v>
      </c>
      <c r="E124" s="70">
        <v>3675.18</v>
      </c>
      <c r="F124" s="70">
        <v>17836.78</v>
      </c>
      <c r="G124" s="70">
        <v>2355.88</v>
      </c>
      <c r="H124" s="70">
        <v>1884.7</v>
      </c>
      <c r="I124" s="70">
        <v>2497.23</v>
      </c>
      <c r="J124" s="70">
        <v>0</v>
      </c>
      <c r="K124" s="70">
        <v>0</v>
      </c>
      <c r="L124" s="70">
        <v>18.14</v>
      </c>
      <c r="M124" s="70">
        <v>659.66</v>
      </c>
      <c r="N124" s="70">
        <v>0</v>
      </c>
      <c r="O124" s="70">
        <v>5364.26</v>
      </c>
      <c r="P124" s="70">
        <v>598</v>
      </c>
      <c r="Q124" s="70">
        <v>5621.06</v>
      </c>
      <c r="R124" s="70">
        <v>8123.14</v>
      </c>
      <c r="S124" s="70">
        <v>4705.59</v>
      </c>
      <c r="T124" s="71">
        <f>SUM(D124:S124)</f>
        <v>58946.61</v>
      </c>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28"/>
      <c r="AZ124" s="28"/>
      <c r="BA124" s="28"/>
      <c r="BB124" s="28"/>
      <c r="BC124" s="28"/>
      <c r="BD124" s="28"/>
      <c r="BE124" s="28"/>
      <c r="BF124" s="28"/>
      <c r="BG124" s="28"/>
      <c r="BH124" s="28"/>
    </row>
    <row r="125" spans="1:68" s="56" customFormat="1" x14ac:dyDescent="0.25">
      <c r="A125" s="31" t="s">
        <v>123</v>
      </c>
      <c r="B125" s="57">
        <v>44824</v>
      </c>
      <c r="C125" s="58">
        <v>32</v>
      </c>
      <c r="D125" s="70">
        <v>896.52</v>
      </c>
      <c r="E125" s="70">
        <v>587.65</v>
      </c>
      <c r="F125" s="70">
        <v>2757.44</v>
      </c>
      <c r="G125" s="70">
        <v>1054.76</v>
      </c>
      <c r="H125" s="70">
        <v>489.73</v>
      </c>
      <c r="I125" s="70">
        <v>1054.76</v>
      </c>
      <c r="J125" s="70">
        <v>0</v>
      </c>
      <c r="K125" s="70">
        <v>14.25</v>
      </c>
      <c r="L125" s="70"/>
      <c r="M125" s="70">
        <v>346.56</v>
      </c>
      <c r="N125" s="70">
        <v>0</v>
      </c>
      <c r="O125" s="70">
        <v>954.08</v>
      </c>
      <c r="P125" s="70">
        <v>64</v>
      </c>
      <c r="Q125" s="70">
        <v>0</v>
      </c>
      <c r="R125" s="70">
        <v>1440.31</v>
      </c>
      <c r="S125" s="70">
        <v>1680</v>
      </c>
      <c r="T125" s="71">
        <f>SUM(D125:S125)</f>
        <v>11340.06</v>
      </c>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28"/>
      <c r="AZ125" s="28"/>
      <c r="BA125" s="28"/>
      <c r="BB125" s="28"/>
      <c r="BC125" s="28"/>
      <c r="BD125" s="28"/>
      <c r="BE125" s="28"/>
      <c r="BF125" s="28"/>
      <c r="BG125" s="28"/>
      <c r="BH125" s="28"/>
    </row>
    <row r="126" spans="1:68" s="56" customFormat="1" x14ac:dyDescent="0.25">
      <c r="A126" s="31" t="s">
        <v>124</v>
      </c>
      <c r="B126" s="57">
        <v>44799</v>
      </c>
      <c r="C126" s="58">
        <v>18</v>
      </c>
      <c r="D126" s="70">
        <v>4360.0600000000004</v>
      </c>
      <c r="E126" s="70">
        <v>2564.73</v>
      </c>
      <c r="F126" s="70">
        <v>25574.02</v>
      </c>
      <c r="G126" s="70">
        <v>2308.2800000000002</v>
      </c>
      <c r="H126" s="70">
        <v>732.78</v>
      </c>
      <c r="I126" s="70">
        <v>659.5</v>
      </c>
      <c r="J126" s="70">
        <v>0</v>
      </c>
      <c r="K126" s="70">
        <v>1419.08</v>
      </c>
      <c r="L126" s="70"/>
      <c r="M126" s="70">
        <v>0</v>
      </c>
      <c r="N126" s="70">
        <v>0</v>
      </c>
      <c r="O126" s="70">
        <v>5007.3100000000004</v>
      </c>
      <c r="P126" s="70">
        <v>272</v>
      </c>
      <c r="Q126" s="70">
        <v>5404.64</v>
      </c>
      <c r="R126" s="70">
        <v>8343.2000000000007</v>
      </c>
      <c r="S126" s="70">
        <v>4409.6000000000004</v>
      </c>
      <c r="T126" s="71">
        <f>SUM(D126:S126)</f>
        <v>61055.200000000004</v>
      </c>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28"/>
      <c r="AZ126" s="28"/>
      <c r="BA126" s="28"/>
      <c r="BB126" s="28"/>
      <c r="BC126" s="28"/>
      <c r="BD126" s="28"/>
      <c r="BE126" s="28"/>
      <c r="BF126" s="28"/>
      <c r="BG126" s="28"/>
      <c r="BH126" s="28"/>
    </row>
    <row r="127" spans="1:68" x14ac:dyDescent="0.25">
      <c r="A127" s="73" t="s">
        <v>169</v>
      </c>
      <c r="C127" s="74"/>
      <c r="R127" s="70"/>
    </row>
    <row r="128" spans="1:68" x14ac:dyDescent="0.25">
      <c r="A128" s="75" t="s">
        <v>138</v>
      </c>
      <c r="C128" s="58">
        <f>SUM(C2:C127)</f>
        <v>7591</v>
      </c>
      <c r="D128" s="60">
        <f t="shared" ref="D128:S128" si="4">SUM(D2:D127)</f>
        <v>1109558.6200000001</v>
      </c>
      <c r="E128" s="60">
        <f t="shared" si="4"/>
        <v>835543.89</v>
      </c>
      <c r="F128" s="60">
        <f t="shared" si="4"/>
        <v>3993136.5000000005</v>
      </c>
      <c r="G128" s="60">
        <f t="shared" si="4"/>
        <v>383729.06999999989</v>
      </c>
      <c r="H128" s="60">
        <f t="shared" si="4"/>
        <v>190969.15</v>
      </c>
      <c r="I128" s="60">
        <f t="shared" si="4"/>
        <v>284967.35999999993</v>
      </c>
      <c r="J128" s="60">
        <f t="shared" si="4"/>
        <v>17516.690000000002</v>
      </c>
      <c r="K128" s="60">
        <f t="shared" si="4"/>
        <v>316313.93000000005</v>
      </c>
      <c r="L128" s="60">
        <f t="shared" si="4"/>
        <v>103142.79000000001</v>
      </c>
      <c r="M128" s="60">
        <f t="shared" si="4"/>
        <v>35481.600000000013</v>
      </c>
      <c r="N128" s="60">
        <f t="shared" si="4"/>
        <v>92458.999999999971</v>
      </c>
      <c r="O128" s="60">
        <f t="shared" si="4"/>
        <v>914223.90999999992</v>
      </c>
      <c r="P128" s="60">
        <f t="shared" si="4"/>
        <v>69389.060000000012</v>
      </c>
      <c r="Q128" s="60">
        <f t="shared" si="4"/>
        <v>1231310.7699999998</v>
      </c>
      <c r="R128" s="60">
        <f t="shared" si="4"/>
        <v>1494696.1900000006</v>
      </c>
      <c r="S128" s="60">
        <f t="shared" si="4"/>
        <v>899004.8600000001</v>
      </c>
      <c r="T128" s="61">
        <f>SUM(D128:S128)</f>
        <v>11971443.390000002</v>
      </c>
    </row>
    <row r="129" spans="1:20" x14ac:dyDescent="0.25">
      <c r="C129" s="74"/>
    </row>
    <row r="130" spans="1:20" x14ac:dyDescent="0.25">
      <c r="C130" s="74"/>
    </row>
    <row r="131" spans="1:20" x14ac:dyDescent="0.25">
      <c r="A131" s="73"/>
      <c r="C131" s="74"/>
      <c r="T131" s="61"/>
    </row>
    <row r="132" spans="1:20" x14ac:dyDescent="0.25">
      <c r="C132" s="74"/>
    </row>
    <row r="133" spans="1:20" x14ac:dyDescent="0.25">
      <c r="C133" s="74"/>
    </row>
    <row r="134" spans="1:20" x14ac:dyDescent="0.25">
      <c r="C134" s="74"/>
    </row>
    <row r="135" spans="1:20" x14ac:dyDescent="0.25">
      <c r="C135" s="74"/>
    </row>
    <row r="136" spans="1:20" x14ac:dyDescent="0.25">
      <c r="C136" s="74"/>
    </row>
    <row r="137" spans="1:20" x14ac:dyDescent="0.25">
      <c r="C137" s="74"/>
    </row>
    <row r="138" spans="1:20" x14ac:dyDescent="0.25">
      <c r="C138" s="74"/>
    </row>
    <row r="139" spans="1:20" x14ac:dyDescent="0.25">
      <c r="C139" s="74"/>
    </row>
    <row r="140" spans="1:20" x14ac:dyDescent="0.25">
      <c r="C140" s="74"/>
    </row>
    <row r="141" spans="1:20" x14ac:dyDescent="0.25">
      <c r="C141" s="74"/>
    </row>
    <row r="142" spans="1:20" x14ac:dyDescent="0.25">
      <c r="C142" s="74"/>
    </row>
    <row r="143" spans="1:20" x14ac:dyDescent="0.25">
      <c r="C143" s="74"/>
    </row>
    <row r="144" spans="1:20" x14ac:dyDescent="0.25">
      <c r="C144" s="74"/>
    </row>
    <row r="145" spans="3:3" x14ac:dyDescent="0.25">
      <c r="C145" s="74"/>
    </row>
    <row r="146" spans="3:3" x14ac:dyDescent="0.25">
      <c r="C146" s="74"/>
    </row>
    <row r="147" spans="3:3" x14ac:dyDescent="0.25">
      <c r="C147" s="74"/>
    </row>
    <row r="148" spans="3:3" x14ac:dyDescent="0.25">
      <c r="C148" s="74"/>
    </row>
    <row r="149" spans="3:3" x14ac:dyDescent="0.25">
      <c r="C149" s="74"/>
    </row>
    <row r="150" spans="3:3" x14ac:dyDescent="0.25">
      <c r="C150" s="74"/>
    </row>
    <row r="151" spans="3:3" x14ac:dyDescent="0.25">
      <c r="C151" s="74"/>
    </row>
    <row r="152" spans="3:3" x14ac:dyDescent="0.25">
      <c r="C152" s="74"/>
    </row>
    <row r="153" spans="3:3" x14ac:dyDescent="0.25">
      <c r="C153" s="74"/>
    </row>
    <row r="154" spans="3:3" x14ac:dyDescent="0.25">
      <c r="C154" s="74"/>
    </row>
    <row r="155" spans="3:3" x14ac:dyDescent="0.25">
      <c r="C155" s="74"/>
    </row>
    <row r="156" spans="3:3" x14ac:dyDescent="0.25">
      <c r="C156" s="74"/>
    </row>
    <row r="157" spans="3:3" x14ac:dyDescent="0.25">
      <c r="C157" s="74"/>
    </row>
    <row r="158" spans="3:3" x14ac:dyDescent="0.25">
      <c r="C158" s="74"/>
    </row>
    <row r="159" spans="3:3" x14ac:dyDescent="0.25">
      <c r="C159" s="74"/>
    </row>
    <row r="160" spans="3:3" x14ac:dyDescent="0.25">
      <c r="C160" s="74"/>
    </row>
    <row r="161" spans="3:3" x14ac:dyDescent="0.25">
      <c r="C161" s="74"/>
    </row>
    <row r="162" spans="3:3" x14ac:dyDescent="0.25">
      <c r="C162" s="74"/>
    </row>
    <row r="163" spans="3:3" x14ac:dyDescent="0.25">
      <c r="C163" s="74"/>
    </row>
    <row r="164" spans="3:3" x14ac:dyDescent="0.25">
      <c r="C164" s="74"/>
    </row>
    <row r="165" spans="3:3" x14ac:dyDescent="0.25">
      <c r="C165" s="74"/>
    </row>
    <row r="166" spans="3:3" x14ac:dyDescent="0.25">
      <c r="C166" s="74"/>
    </row>
    <row r="167" spans="3:3" x14ac:dyDescent="0.25">
      <c r="C167" s="74"/>
    </row>
    <row r="168" spans="3:3" x14ac:dyDescent="0.25">
      <c r="C168" s="74"/>
    </row>
    <row r="169" spans="3:3" x14ac:dyDescent="0.25">
      <c r="C169" s="74"/>
    </row>
    <row r="170" spans="3:3" x14ac:dyDescent="0.25">
      <c r="C170" s="74"/>
    </row>
    <row r="171" spans="3:3" x14ac:dyDescent="0.25">
      <c r="C171" s="74"/>
    </row>
    <row r="172" spans="3:3" x14ac:dyDescent="0.25">
      <c r="C172" s="74"/>
    </row>
    <row r="173" spans="3:3" x14ac:dyDescent="0.25">
      <c r="C173" s="74"/>
    </row>
    <row r="174" spans="3:3" x14ac:dyDescent="0.25">
      <c r="C174" s="74"/>
    </row>
    <row r="175" spans="3:3" x14ac:dyDescent="0.25">
      <c r="C175" s="74"/>
    </row>
    <row r="176" spans="3:3" x14ac:dyDescent="0.25">
      <c r="C176" s="74"/>
    </row>
    <row r="177" spans="3:3" x14ac:dyDescent="0.25">
      <c r="C177" s="74"/>
    </row>
    <row r="178" spans="3:3" x14ac:dyDescent="0.25">
      <c r="C178" s="74"/>
    </row>
    <row r="179" spans="3:3" x14ac:dyDescent="0.25">
      <c r="C179" s="74"/>
    </row>
    <row r="180" spans="3:3" x14ac:dyDescent="0.25">
      <c r="C180" s="74"/>
    </row>
    <row r="181" spans="3:3" x14ac:dyDescent="0.25">
      <c r="C181" s="74"/>
    </row>
    <row r="182" spans="3:3" x14ac:dyDescent="0.25">
      <c r="C182" s="74"/>
    </row>
    <row r="183" spans="3:3" x14ac:dyDescent="0.25">
      <c r="C183" s="74"/>
    </row>
    <row r="184" spans="3:3" x14ac:dyDescent="0.25">
      <c r="C184" s="74"/>
    </row>
    <row r="185" spans="3:3" x14ac:dyDescent="0.25">
      <c r="C185" s="74"/>
    </row>
    <row r="186" spans="3:3" x14ac:dyDescent="0.25">
      <c r="C186" s="74"/>
    </row>
    <row r="187" spans="3:3" x14ac:dyDescent="0.25">
      <c r="C187" s="74"/>
    </row>
    <row r="188" spans="3:3" x14ac:dyDescent="0.25">
      <c r="C188" s="74"/>
    </row>
    <row r="189" spans="3:3" x14ac:dyDescent="0.25">
      <c r="C189" s="74"/>
    </row>
    <row r="190" spans="3:3" x14ac:dyDescent="0.25">
      <c r="C190" s="74"/>
    </row>
    <row r="191" spans="3:3" x14ac:dyDescent="0.25">
      <c r="C191" s="74"/>
    </row>
    <row r="192" spans="3:3" x14ac:dyDescent="0.25">
      <c r="C192" s="74"/>
    </row>
    <row r="193" spans="3:3" x14ac:dyDescent="0.25">
      <c r="C193" s="74"/>
    </row>
    <row r="194" spans="3:3" x14ac:dyDescent="0.25">
      <c r="C194" s="74"/>
    </row>
    <row r="195" spans="3:3" x14ac:dyDescent="0.25">
      <c r="C195" s="74"/>
    </row>
    <row r="196" spans="3:3" x14ac:dyDescent="0.25">
      <c r="C196" s="74"/>
    </row>
    <row r="197" spans="3:3" x14ac:dyDescent="0.25">
      <c r="C197" s="74"/>
    </row>
    <row r="198" spans="3:3" x14ac:dyDescent="0.25">
      <c r="C198" s="74"/>
    </row>
    <row r="199" spans="3:3" x14ac:dyDescent="0.25">
      <c r="C199" s="74"/>
    </row>
    <row r="200" spans="3:3" x14ac:dyDescent="0.25">
      <c r="C200" s="74"/>
    </row>
    <row r="201" spans="3:3" x14ac:dyDescent="0.25">
      <c r="C201" s="74"/>
    </row>
    <row r="202" spans="3:3" x14ac:dyDescent="0.25">
      <c r="C202" s="74"/>
    </row>
    <row r="203" spans="3:3" x14ac:dyDescent="0.25">
      <c r="C203" s="74"/>
    </row>
    <row r="204" spans="3:3" x14ac:dyDescent="0.25">
      <c r="C204" s="74"/>
    </row>
    <row r="205" spans="3:3" x14ac:dyDescent="0.25">
      <c r="C205" s="74"/>
    </row>
    <row r="206" spans="3:3" x14ac:dyDescent="0.25">
      <c r="C206" s="74"/>
    </row>
    <row r="207" spans="3:3" x14ac:dyDescent="0.25">
      <c r="C207" s="74"/>
    </row>
    <row r="208" spans="3:3" x14ac:dyDescent="0.25">
      <c r="C208" s="74"/>
    </row>
    <row r="209" spans="3:3" x14ac:dyDescent="0.25">
      <c r="C209" s="74"/>
    </row>
    <row r="210" spans="3:3" x14ac:dyDescent="0.25">
      <c r="C210" s="74"/>
    </row>
    <row r="211" spans="3:3" x14ac:dyDescent="0.25">
      <c r="C211" s="74"/>
    </row>
    <row r="212" spans="3:3" x14ac:dyDescent="0.25">
      <c r="C212" s="74"/>
    </row>
    <row r="213" spans="3:3" x14ac:dyDescent="0.25">
      <c r="C213" s="74"/>
    </row>
    <row r="214" spans="3:3" x14ac:dyDescent="0.25">
      <c r="C214" s="74"/>
    </row>
    <row r="215" spans="3:3" x14ac:dyDescent="0.25">
      <c r="C215" s="74"/>
    </row>
    <row r="216" spans="3:3" x14ac:dyDescent="0.25">
      <c r="C216" s="74"/>
    </row>
    <row r="217" spans="3:3" x14ac:dyDescent="0.25">
      <c r="C217" s="74"/>
    </row>
    <row r="218" spans="3:3" x14ac:dyDescent="0.25">
      <c r="C218" s="74"/>
    </row>
    <row r="219" spans="3:3" x14ac:dyDescent="0.25">
      <c r="C219" s="74"/>
    </row>
    <row r="220" spans="3:3" x14ac:dyDescent="0.25">
      <c r="C220" s="74"/>
    </row>
    <row r="221" spans="3:3" x14ac:dyDescent="0.25">
      <c r="C221" s="74"/>
    </row>
    <row r="222" spans="3:3" x14ac:dyDescent="0.25">
      <c r="C222" s="74"/>
    </row>
    <row r="223" spans="3:3" x14ac:dyDescent="0.25">
      <c r="C223" s="74"/>
    </row>
    <row r="224" spans="3:3" x14ac:dyDescent="0.25">
      <c r="C224" s="74"/>
    </row>
    <row r="225" spans="3:3" x14ac:dyDescent="0.25">
      <c r="C225" s="74"/>
    </row>
    <row r="226" spans="3:3" x14ac:dyDescent="0.25">
      <c r="C226" s="74"/>
    </row>
    <row r="227" spans="3:3" x14ac:dyDescent="0.25">
      <c r="C227" s="74"/>
    </row>
    <row r="228" spans="3:3" x14ac:dyDescent="0.25">
      <c r="C228" s="74"/>
    </row>
    <row r="229" spans="3:3" x14ac:dyDescent="0.25">
      <c r="C229" s="74"/>
    </row>
    <row r="230" spans="3:3" x14ac:dyDescent="0.25">
      <c r="C230" s="74"/>
    </row>
    <row r="231" spans="3:3" x14ac:dyDescent="0.25">
      <c r="C231" s="74"/>
    </row>
    <row r="232" spans="3:3" x14ac:dyDescent="0.25">
      <c r="C232" s="74"/>
    </row>
    <row r="233" spans="3:3" x14ac:dyDescent="0.25">
      <c r="C233" s="74"/>
    </row>
    <row r="234" spans="3:3" x14ac:dyDescent="0.25">
      <c r="C234" s="74"/>
    </row>
    <row r="235" spans="3:3" x14ac:dyDescent="0.25">
      <c r="C235" s="74"/>
    </row>
    <row r="236" spans="3:3" x14ac:dyDescent="0.25">
      <c r="C236" s="74"/>
    </row>
    <row r="237" spans="3:3" x14ac:dyDescent="0.25">
      <c r="C237" s="74"/>
    </row>
    <row r="238" spans="3:3" x14ac:dyDescent="0.25">
      <c r="C238" s="74"/>
    </row>
    <row r="239" spans="3:3" x14ac:dyDescent="0.25">
      <c r="C239" s="74"/>
    </row>
    <row r="240" spans="3:3" x14ac:dyDescent="0.25">
      <c r="C240" s="74"/>
    </row>
    <row r="241" spans="3:3" x14ac:dyDescent="0.25">
      <c r="C241" s="74"/>
    </row>
    <row r="242" spans="3:3" x14ac:dyDescent="0.25">
      <c r="C242" s="74"/>
    </row>
    <row r="243" spans="3:3" x14ac:dyDescent="0.25">
      <c r="C243" s="74"/>
    </row>
    <row r="244" spans="3:3" x14ac:dyDescent="0.25">
      <c r="C244" s="74"/>
    </row>
    <row r="245" spans="3:3" x14ac:dyDescent="0.25">
      <c r="C245" s="74"/>
    </row>
    <row r="246" spans="3:3" x14ac:dyDescent="0.25">
      <c r="C246" s="74"/>
    </row>
    <row r="247" spans="3:3" x14ac:dyDescent="0.25">
      <c r="C247" s="74"/>
    </row>
    <row r="248" spans="3:3" x14ac:dyDescent="0.25">
      <c r="C248" s="74"/>
    </row>
    <row r="249" spans="3:3" x14ac:dyDescent="0.25">
      <c r="C249" s="74"/>
    </row>
    <row r="250" spans="3:3" x14ac:dyDescent="0.25">
      <c r="C250" s="74"/>
    </row>
    <row r="251" spans="3:3" x14ac:dyDescent="0.25">
      <c r="C251" s="74"/>
    </row>
    <row r="252" spans="3:3" x14ac:dyDescent="0.25">
      <c r="C252" s="74"/>
    </row>
    <row r="253" spans="3:3" x14ac:dyDescent="0.25">
      <c r="C253" s="74"/>
    </row>
    <row r="254" spans="3:3" x14ac:dyDescent="0.25">
      <c r="C254" s="74"/>
    </row>
    <row r="255" spans="3:3" x14ac:dyDescent="0.25">
      <c r="C255" s="74"/>
    </row>
    <row r="256" spans="3:3" x14ac:dyDescent="0.25">
      <c r="C256" s="74"/>
    </row>
    <row r="257" spans="3:3" x14ac:dyDescent="0.25">
      <c r="C257" s="74"/>
    </row>
    <row r="258" spans="3:3" x14ac:dyDescent="0.25">
      <c r="C258" s="74"/>
    </row>
    <row r="259" spans="3:3" x14ac:dyDescent="0.25">
      <c r="C259" s="74"/>
    </row>
    <row r="260" spans="3:3" x14ac:dyDescent="0.25">
      <c r="C260" s="74"/>
    </row>
    <row r="261" spans="3:3" x14ac:dyDescent="0.25">
      <c r="C261" s="74"/>
    </row>
    <row r="262" spans="3:3" x14ac:dyDescent="0.25">
      <c r="C262" s="74"/>
    </row>
    <row r="263" spans="3:3" x14ac:dyDescent="0.25">
      <c r="C263" s="74"/>
    </row>
    <row r="264" spans="3:3" x14ac:dyDescent="0.25">
      <c r="C264" s="74"/>
    </row>
    <row r="265" spans="3:3" x14ac:dyDescent="0.25">
      <c r="C265" s="74"/>
    </row>
    <row r="266" spans="3:3" x14ac:dyDescent="0.25">
      <c r="C266" s="74"/>
    </row>
    <row r="267" spans="3:3" x14ac:dyDescent="0.25">
      <c r="C267" s="74"/>
    </row>
    <row r="268" spans="3:3" x14ac:dyDescent="0.25">
      <c r="C268" s="74"/>
    </row>
    <row r="269" spans="3:3" x14ac:dyDescent="0.25">
      <c r="C269" s="74"/>
    </row>
    <row r="270" spans="3:3" x14ac:dyDescent="0.25">
      <c r="C270" s="74"/>
    </row>
    <row r="271" spans="3:3" x14ac:dyDescent="0.25">
      <c r="C271" s="74"/>
    </row>
    <row r="272" spans="3:3" x14ac:dyDescent="0.25">
      <c r="C272" s="74"/>
    </row>
    <row r="273" spans="3:3" x14ac:dyDescent="0.25">
      <c r="C273" s="74"/>
    </row>
    <row r="274" spans="3:3" x14ac:dyDescent="0.25">
      <c r="C274" s="74"/>
    </row>
    <row r="275" spans="3:3" x14ac:dyDescent="0.25">
      <c r="C275" s="74"/>
    </row>
    <row r="276" spans="3:3" x14ac:dyDescent="0.25">
      <c r="C276" s="74"/>
    </row>
    <row r="277" spans="3:3" x14ac:dyDescent="0.25">
      <c r="C277" s="74"/>
    </row>
    <row r="278" spans="3:3" x14ac:dyDescent="0.25">
      <c r="C278" s="74"/>
    </row>
    <row r="279" spans="3:3" x14ac:dyDescent="0.25">
      <c r="C279" s="74"/>
    </row>
    <row r="280" spans="3:3" x14ac:dyDescent="0.25">
      <c r="C280" s="74"/>
    </row>
    <row r="281" spans="3:3" x14ac:dyDescent="0.25">
      <c r="C281" s="74"/>
    </row>
    <row r="282" spans="3:3" x14ac:dyDescent="0.25">
      <c r="C282" s="74"/>
    </row>
    <row r="283" spans="3:3" x14ac:dyDescent="0.25">
      <c r="C283" s="74"/>
    </row>
    <row r="284" spans="3:3" x14ac:dyDescent="0.25">
      <c r="C284" s="74"/>
    </row>
    <row r="285" spans="3:3" x14ac:dyDescent="0.25">
      <c r="C285" s="74"/>
    </row>
    <row r="286" spans="3:3" x14ac:dyDescent="0.25">
      <c r="C286" s="74"/>
    </row>
    <row r="287" spans="3:3" x14ac:dyDescent="0.25">
      <c r="C287" s="74"/>
    </row>
    <row r="288" spans="3:3" x14ac:dyDescent="0.25">
      <c r="C288" s="74"/>
    </row>
    <row r="289" spans="3:3" x14ac:dyDescent="0.25">
      <c r="C289" s="74"/>
    </row>
    <row r="290" spans="3:3" x14ac:dyDescent="0.25">
      <c r="C290" s="74"/>
    </row>
    <row r="291" spans="3:3" x14ac:dyDescent="0.25">
      <c r="C291" s="74"/>
    </row>
    <row r="292" spans="3:3" x14ac:dyDescent="0.25">
      <c r="C292" s="74"/>
    </row>
    <row r="293" spans="3:3" x14ac:dyDescent="0.25">
      <c r="C293" s="74"/>
    </row>
    <row r="294" spans="3:3" x14ac:dyDescent="0.25">
      <c r="C294" s="74"/>
    </row>
    <row r="295" spans="3:3" x14ac:dyDescent="0.25">
      <c r="C295" s="74"/>
    </row>
    <row r="296" spans="3:3" x14ac:dyDescent="0.25">
      <c r="C296" s="74"/>
    </row>
    <row r="297" spans="3:3" x14ac:dyDescent="0.25">
      <c r="C297" s="74"/>
    </row>
    <row r="298" spans="3:3" x14ac:dyDescent="0.25">
      <c r="C298" s="74"/>
    </row>
    <row r="299" spans="3:3" x14ac:dyDescent="0.25">
      <c r="C299" s="74"/>
    </row>
    <row r="300" spans="3:3" x14ac:dyDescent="0.25">
      <c r="C300" s="74"/>
    </row>
    <row r="301" spans="3:3" x14ac:dyDescent="0.25">
      <c r="C301" s="74"/>
    </row>
    <row r="302" spans="3:3" x14ac:dyDescent="0.25">
      <c r="C302" s="74"/>
    </row>
    <row r="303" spans="3:3" x14ac:dyDescent="0.25">
      <c r="C303" s="74"/>
    </row>
    <row r="304" spans="3:3" x14ac:dyDescent="0.25">
      <c r="C304" s="74"/>
    </row>
    <row r="305" spans="3:3" x14ac:dyDescent="0.25">
      <c r="C305" s="74"/>
    </row>
    <row r="306" spans="3:3" x14ac:dyDescent="0.25">
      <c r="C306" s="74"/>
    </row>
    <row r="307" spans="3:3" x14ac:dyDescent="0.25">
      <c r="C307" s="74"/>
    </row>
    <row r="308" spans="3:3" x14ac:dyDescent="0.25">
      <c r="C308" s="74"/>
    </row>
    <row r="309" spans="3:3" x14ac:dyDescent="0.25">
      <c r="C309" s="74"/>
    </row>
    <row r="310" spans="3:3" x14ac:dyDescent="0.25">
      <c r="C310" s="74"/>
    </row>
    <row r="311" spans="3:3" x14ac:dyDescent="0.25">
      <c r="C311" s="74"/>
    </row>
    <row r="312" spans="3:3" x14ac:dyDescent="0.25">
      <c r="C312" s="74"/>
    </row>
    <row r="313" spans="3:3" x14ac:dyDescent="0.25">
      <c r="C313" s="74"/>
    </row>
    <row r="314" spans="3:3" x14ac:dyDescent="0.25">
      <c r="C314" s="74"/>
    </row>
    <row r="315" spans="3:3" x14ac:dyDescent="0.25">
      <c r="C315" s="74"/>
    </row>
    <row r="316" spans="3:3" x14ac:dyDescent="0.25">
      <c r="C316" s="74"/>
    </row>
    <row r="317" spans="3:3" x14ac:dyDescent="0.25">
      <c r="C317" s="74"/>
    </row>
    <row r="318" spans="3:3" x14ac:dyDescent="0.25">
      <c r="C318" s="74"/>
    </row>
    <row r="319" spans="3:3" x14ac:dyDescent="0.25">
      <c r="C319" s="74"/>
    </row>
    <row r="320" spans="3:3" x14ac:dyDescent="0.25">
      <c r="C320" s="74"/>
    </row>
    <row r="321" spans="3:3" x14ac:dyDescent="0.25">
      <c r="C321" s="74"/>
    </row>
    <row r="322" spans="3:3" x14ac:dyDescent="0.25">
      <c r="C322" s="74"/>
    </row>
    <row r="323" spans="3:3" x14ac:dyDescent="0.25">
      <c r="C323" s="74"/>
    </row>
    <row r="324" spans="3:3" x14ac:dyDescent="0.25">
      <c r="C324" s="74"/>
    </row>
    <row r="325" spans="3:3" x14ac:dyDescent="0.25">
      <c r="C325" s="74"/>
    </row>
    <row r="326" spans="3:3" x14ac:dyDescent="0.25">
      <c r="C326" s="74"/>
    </row>
    <row r="327" spans="3:3" x14ac:dyDescent="0.25">
      <c r="C327" s="74"/>
    </row>
    <row r="328" spans="3:3" x14ac:dyDescent="0.25">
      <c r="C328" s="74"/>
    </row>
    <row r="329" spans="3:3" x14ac:dyDescent="0.25">
      <c r="C329" s="74"/>
    </row>
    <row r="330" spans="3:3" x14ac:dyDescent="0.25">
      <c r="C330" s="74"/>
    </row>
    <row r="331" spans="3:3" x14ac:dyDescent="0.25">
      <c r="C331" s="74"/>
    </row>
    <row r="332" spans="3:3" x14ac:dyDescent="0.25">
      <c r="C332" s="74"/>
    </row>
    <row r="333" spans="3:3" x14ac:dyDescent="0.25">
      <c r="C333" s="74"/>
    </row>
    <row r="334" spans="3:3" x14ac:dyDescent="0.25">
      <c r="C334" s="74"/>
    </row>
    <row r="335" spans="3:3" x14ac:dyDescent="0.25">
      <c r="C335" s="74"/>
    </row>
    <row r="336" spans="3:3" x14ac:dyDescent="0.25">
      <c r="C336" s="74"/>
    </row>
    <row r="337" spans="3:3" x14ac:dyDescent="0.25">
      <c r="C337" s="74"/>
    </row>
    <row r="338" spans="3:3" x14ac:dyDescent="0.25">
      <c r="C338" s="74"/>
    </row>
    <row r="339" spans="3:3" x14ac:dyDescent="0.25">
      <c r="C339" s="74"/>
    </row>
    <row r="340" spans="3:3" x14ac:dyDescent="0.25">
      <c r="C340" s="74"/>
    </row>
    <row r="341" spans="3:3" x14ac:dyDescent="0.25">
      <c r="C341" s="74"/>
    </row>
    <row r="342" spans="3:3" x14ac:dyDescent="0.25">
      <c r="C342" s="74"/>
    </row>
    <row r="343" spans="3:3" x14ac:dyDescent="0.25">
      <c r="C343" s="74"/>
    </row>
    <row r="344" spans="3:3" x14ac:dyDescent="0.25">
      <c r="C344" s="74"/>
    </row>
    <row r="345" spans="3:3" x14ac:dyDescent="0.25">
      <c r="C345" s="74"/>
    </row>
    <row r="346" spans="3:3" x14ac:dyDescent="0.25">
      <c r="C346" s="74"/>
    </row>
    <row r="347" spans="3:3" x14ac:dyDescent="0.25">
      <c r="C347" s="74"/>
    </row>
    <row r="348" spans="3:3" x14ac:dyDescent="0.25">
      <c r="C348" s="74"/>
    </row>
    <row r="349" spans="3:3" x14ac:dyDescent="0.25">
      <c r="C349" s="74"/>
    </row>
    <row r="350" spans="3:3" x14ac:dyDescent="0.25">
      <c r="C350" s="74"/>
    </row>
    <row r="351" spans="3:3" x14ac:dyDescent="0.25">
      <c r="C351" s="74"/>
    </row>
    <row r="352" spans="3:3" x14ac:dyDescent="0.25">
      <c r="C352" s="74"/>
    </row>
    <row r="353" spans="3:3" x14ac:dyDescent="0.25">
      <c r="C353" s="74"/>
    </row>
    <row r="354" spans="3:3" x14ac:dyDescent="0.25">
      <c r="C354" s="74"/>
    </row>
    <row r="355" spans="3:3" x14ac:dyDescent="0.25">
      <c r="C355" s="74"/>
    </row>
    <row r="356" spans="3:3" x14ac:dyDescent="0.25">
      <c r="C356" s="74"/>
    </row>
    <row r="357" spans="3:3" x14ac:dyDescent="0.25">
      <c r="C357" s="74"/>
    </row>
    <row r="358" spans="3:3" x14ac:dyDescent="0.25">
      <c r="C358" s="74"/>
    </row>
    <row r="359" spans="3:3" x14ac:dyDescent="0.25">
      <c r="C359" s="74"/>
    </row>
    <row r="360" spans="3:3" x14ac:dyDescent="0.25">
      <c r="C360" s="74"/>
    </row>
    <row r="361" spans="3:3" x14ac:dyDescent="0.25">
      <c r="C361" s="74"/>
    </row>
    <row r="362" spans="3:3" x14ac:dyDescent="0.25">
      <c r="C362" s="74"/>
    </row>
    <row r="363" spans="3:3" x14ac:dyDescent="0.25">
      <c r="C363" s="74"/>
    </row>
    <row r="364" spans="3:3" x14ac:dyDescent="0.25">
      <c r="C364" s="74"/>
    </row>
    <row r="365" spans="3:3" x14ac:dyDescent="0.25">
      <c r="C365" s="74"/>
    </row>
    <row r="366" spans="3:3" x14ac:dyDescent="0.25">
      <c r="C366" s="74"/>
    </row>
    <row r="367" spans="3:3" x14ac:dyDescent="0.25">
      <c r="C367" s="74"/>
    </row>
    <row r="368" spans="3:3" x14ac:dyDescent="0.25">
      <c r="C368" s="74"/>
    </row>
    <row r="369" spans="3:3" x14ac:dyDescent="0.25">
      <c r="C369" s="74"/>
    </row>
    <row r="370" spans="3:3" x14ac:dyDescent="0.25">
      <c r="C370" s="74"/>
    </row>
    <row r="371" spans="3:3" x14ac:dyDescent="0.25">
      <c r="C371" s="74"/>
    </row>
    <row r="372" spans="3:3" x14ac:dyDescent="0.25">
      <c r="C372" s="74"/>
    </row>
    <row r="373" spans="3:3" x14ac:dyDescent="0.25">
      <c r="C373" s="74"/>
    </row>
    <row r="374" spans="3:3" x14ac:dyDescent="0.25">
      <c r="C374" s="74"/>
    </row>
    <row r="375" spans="3:3" x14ac:dyDescent="0.25">
      <c r="C375" s="74"/>
    </row>
    <row r="376" spans="3:3" x14ac:dyDescent="0.25">
      <c r="C376" s="74"/>
    </row>
    <row r="377" spans="3:3" x14ac:dyDescent="0.25">
      <c r="C377" s="74"/>
    </row>
    <row r="378" spans="3:3" x14ac:dyDescent="0.25">
      <c r="C378" s="74"/>
    </row>
    <row r="379" spans="3:3" x14ac:dyDescent="0.25">
      <c r="C379" s="74"/>
    </row>
    <row r="380" spans="3:3" x14ac:dyDescent="0.25">
      <c r="C380" s="74"/>
    </row>
    <row r="381" spans="3:3" x14ac:dyDescent="0.25">
      <c r="C381" s="74"/>
    </row>
    <row r="382" spans="3:3" x14ac:dyDescent="0.25">
      <c r="C382" s="74"/>
    </row>
    <row r="383" spans="3:3" x14ac:dyDescent="0.25">
      <c r="C383" s="74"/>
    </row>
    <row r="384" spans="3:3" x14ac:dyDescent="0.25">
      <c r="C384" s="74"/>
    </row>
    <row r="385" spans="3:3" x14ac:dyDescent="0.25">
      <c r="C385" s="74"/>
    </row>
    <row r="386" spans="3:3" x14ac:dyDescent="0.25">
      <c r="C386" s="74"/>
    </row>
    <row r="387" spans="3:3" x14ac:dyDescent="0.25">
      <c r="C387" s="74"/>
    </row>
    <row r="388" spans="3:3" x14ac:dyDescent="0.25">
      <c r="C388" s="74"/>
    </row>
    <row r="389" spans="3:3" x14ac:dyDescent="0.25">
      <c r="C389" s="74"/>
    </row>
    <row r="390" spans="3:3" x14ac:dyDescent="0.25">
      <c r="C390" s="74"/>
    </row>
    <row r="391" spans="3:3" x14ac:dyDescent="0.25">
      <c r="C391" s="74"/>
    </row>
    <row r="392" spans="3:3" x14ac:dyDescent="0.25">
      <c r="C392" s="74"/>
    </row>
    <row r="393" spans="3:3" x14ac:dyDescent="0.25">
      <c r="C393" s="74"/>
    </row>
    <row r="394" spans="3:3" x14ac:dyDescent="0.25">
      <c r="C394" s="74"/>
    </row>
    <row r="395" spans="3:3" x14ac:dyDescent="0.25">
      <c r="C395" s="74"/>
    </row>
    <row r="396" spans="3:3" x14ac:dyDescent="0.25">
      <c r="C396" s="74"/>
    </row>
    <row r="397" spans="3:3" x14ac:dyDescent="0.25">
      <c r="C397" s="74"/>
    </row>
    <row r="398" spans="3:3" x14ac:dyDescent="0.25">
      <c r="C398" s="74"/>
    </row>
    <row r="399" spans="3:3" x14ac:dyDescent="0.25">
      <c r="C399" s="74"/>
    </row>
    <row r="400" spans="3:3" x14ac:dyDescent="0.25">
      <c r="C400" s="74"/>
    </row>
    <row r="401" spans="3:3" x14ac:dyDescent="0.25">
      <c r="C401" s="74"/>
    </row>
    <row r="402" spans="3:3" x14ac:dyDescent="0.25">
      <c r="C402" s="74"/>
    </row>
    <row r="403" spans="3:3" x14ac:dyDescent="0.25">
      <c r="C403" s="74"/>
    </row>
    <row r="404" spans="3:3" x14ac:dyDescent="0.25">
      <c r="C404" s="74"/>
    </row>
    <row r="405" spans="3:3" x14ac:dyDescent="0.25">
      <c r="C405" s="74"/>
    </row>
    <row r="406" spans="3:3" x14ac:dyDescent="0.25">
      <c r="C406" s="74"/>
    </row>
    <row r="407" spans="3:3" x14ac:dyDescent="0.25">
      <c r="C407" s="74"/>
    </row>
    <row r="408" spans="3:3" x14ac:dyDescent="0.25">
      <c r="C408" s="74"/>
    </row>
    <row r="409" spans="3:3" x14ac:dyDescent="0.25">
      <c r="C409" s="74"/>
    </row>
    <row r="410" spans="3:3" x14ac:dyDescent="0.25">
      <c r="C410" s="74"/>
    </row>
    <row r="411" spans="3:3" x14ac:dyDescent="0.25">
      <c r="C411" s="74"/>
    </row>
    <row r="412" spans="3:3" x14ac:dyDescent="0.25">
      <c r="C412" s="74"/>
    </row>
    <row r="413" spans="3:3" x14ac:dyDescent="0.25">
      <c r="C413" s="74"/>
    </row>
    <row r="414" spans="3:3" x14ac:dyDescent="0.25">
      <c r="C414" s="74"/>
    </row>
    <row r="415" spans="3:3" x14ac:dyDescent="0.25">
      <c r="C415" s="74"/>
    </row>
    <row r="416" spans="3:3" x14ac:dyDescent="0.25">
      <c r="C416" s="74"/>
    </row>
    <row r="417" spans="3:3" x14ac:dyDescent="0.25">
      <c r="C417" s="74"/>
    </row>
    <row r="418" spans="3:3" x14ac:dyDescent="0.25">
      <c r="C418" s="74"/>
    </row>
    <row r="419" spans="3:3" x14ac:dyDescent="0.25">
      <c r="C419" s="74"/>
    </row>
    <row r="420" spans="3:3" x14ac:dyDescent="0.25">
      <c r="C420" s="74"/>
    </row>
    <row r="421" spans="3:3" x14ac:dyDescent="0.25">
      <c r="C421" s="74"/>
    </row>
    <row r="422" spans="3:3" x14ac:dyDescent="0.25">
      <c r="C422" s="74"/>
    </row>
    <row r="423" spans="3:3" x14ac:dyDescent="0.25">
      <c r="C423" s="74"/>
    </row>
    <row r="424" spans="3:3" x14ac:dyDescent="0.25">
      <c r="C424" s="74"/>
    </row>
    <row r="425" spans="3:3" x14ac:dyDescent="0.25">
      <c r="C425" s="74"/>
    </row>
    <row r="426" spans="3:3" x14ac:dyDescent="0.25">
      <c r="C426" s="74"/>
    </row>
    <row r="427" spans="3:3" x14ac:dyDescent="0.25">
      <c r="C427" s="74"/>
    </row>
    <row r="428" spans="3:3" x14ac:dyDescent="0.25">
      <c r="C428" s="74"/>
    </row>
    <row r="429" spans="3:3" x14ac:dyDescent="0.25">
      <c r="C429" s="74"/>
    </row>
    <row r="430" spans="3:3" x14ac:dyDescent="0.25">
      <c r="C430" s="74"/>
    </row>
    <row r="431" spans="3:3" x14ac:dyDescent="0.25">
      <c r="C431" s="74"/>
    </row>
    <row r="432" spans="3:3" x14ac:dyDescent="0.25">
      <c r="C432" s="74"/>
    </row>
    <row r="433" spans="3:3" x14ac:dyDescent="0.25">
      <c r="C433" s="74"/>
    </row>
    <row r="434" spans="3:3" x14ac:dyDescent="0.25">
      <c r="C434" s="74"/>
    </row>
    <row r="435" spans="3:3" x14ac:dyDescent="0.25">
      <c r="C435" s="74"/>
    </row>
    <row r="436" spans="3:3" x14ac:dyDescent="0.25">
      <c r="C436" s="74"/>
    </row>
    <row r="437" spans="3:3" x14ac:dyDescent="0.25">
      <c r="C437" s="74"/>
    </row>
    <row r="438" spans="3:3" x14ac:dyDescent="0.25">
      <c r="C438" s="74"/>
    </row>
    <row r="439" spans="3:3" x14ac:dyDescent="0.25">
      <c r="C439" s="74"/>
    </row>
    <row r="440" spans="3:3" x14ac:dyDescent="0.25">
      <c r="C440" s="74"/>
    </row>
    <row r="441" spans="3:3" x14ac:dyDescent="0.25">
      <c r="C441" s="74"/>
    </row>
    <row r="442" spans="3:3" x14ac:dyDescent="0.25">
      <c r="C442" s="74"/>
    </row>
    <row r="443" spans="3:3" x14ac:dyDescent="0.25">
      <c r="C443" s="74"/>
    </row>
    <row r="444" spans="3:3" x14ac:dyDescent="0.25">
      <c r="C444" s="74"/>
    </row>
    <row r="445" spans="3:3" x14ac:dyDescent="0.25">
      <c r="C445" s="74"/>
    </row>
    <row r="446" spans="3:3" x14ac:dyDescent="0.25">
      <c r="C446" s="74"/>
    </row>
    <row r="447" spans="3:3" x14ac:dyDescent="0.25">
      <c r="C447" s="74"/>
    </row>
    <row r="448" spans="3:3" x14ac:dyDescent="0.25">
      <c r="C448" s="74"/>
    </row>
    <row r="449" spans="3:3" x14ac:dyDescent="0.25">
      <c r="C449" s="74"/>
    </row>
    <row r="450" spans="3:3" x14ac:dyDescent="0.25">
      <c r="C450" s="74"/>
    </row>
    <row r="451" spans="3:3" x14ac:dyDescent="0.25">
      <c r="C451" s="74"/>
    </row>
    <row r="452" spans="3:3" x14ac:dyDescent="0.25">
      <c r="C452" s="74"/>
    </row>
    <row r="453" spans="3:3" x14ac:dyDescent="0.25">
      <c r="C453" s="74"/>
    </row>
    <row r="454" spans="3:3" x14ac:dyDescent="0.25">
      <c r="C454" s="74"/>
    </row>
    <row r="455" spans="3:3" x14ac:dyDescent="0.25">
      <c r="C455" s="74"/>
    </row>
    <row r="456" spans="3:3" x14ac:dyDescent="0.25">
      <c r="C456" s="74"/>
    </row>
    <row r="457" spans="3:3" x14ac:dyDescent="0.25">
      <c r="C457" s="74"/>
    </row>
    <row r="458" spans="3:3" x14ac:dyDescent="0.25">
      <c r="C458" s="74"/>
    </row>
    <row r="459" spans="3:3" x14ac:dyDescent="0.25">
      <c r="C459" s="74"/>
    </row>
    <row r="460" spans="3:3" x14ac:dyDescent="0.25">
      <c r="C460" s="74"/>
    </row>
    <row r="461" spans="3:3" x14ac:dyDescent="0.25">
      <c r="C461" s="74"/>
    </row>
    <row r="462" spans="3:3" x14ac:dyDescent="0.25">
      <c r="C462" s="74"/>
    </row>
    <row r="463" spans="3:3" x14ac:dyDescent="0.25">
      <c r="C463" s="74"/>
    </row>
    <row r="464" spans="3:3" x14ac:dyDescent="0.25">
      <c r="C464" s="74"/>
    </row>
    <row r="465" spans="3:3" x14ac:dyDescent="0.25">
      <c r="C465" s="74"/>
    </row>
    <row r="466" spans="3:3" x14ac:dyDescent="0.25">
      <c r="C466" s="74"/>
    </row>
    <row r="467" spans="3:3" x14ac:dyDescent="0.25">
      <c r="C467" s="74"/>
    </row>
    <row r="468" spans="3:3" x14ac:dyDescent="0.25">
      <c r="C468" s="74"/>
    </row>
    <row r="469" spans="3:3" x14ac:dyDescent="0.25">
      <c r="C469" s="74"/>
    </row>
    <row r="470" spans="3:3" x14ac:dyDescent="0.25">
      <c r="C470" s="74"/>
    </row>
    <row r="471" spans="3:3" x14ac:dyDescent="0.25">
      <c r="C471" s="74"/>
    </row>
    <row r="472" spans="3:3" x14ac:dyDescent="0.25">
      <c r="C472" s="74"/>
    </row>
    <row r="473" spans="3:3" x14ac:dyDescent="0.25">
      <c r="C473" s="74"/>
    </row>
    <row r="474" spans="3:3" x14ac:dyDescent="0.25">
      <c r="C474" s="74"/>
    </row>
    <row r="475" spans="3:3" x14ac:dyDescent="0.25">
      <c r="C475" s="74"/>
    </row>
    <row r="476" spans="3:3" x14ac:dyDescent="0.25">
      <c r="C476" s="74"/>
    </row>
    <row r="477" spans="3:3" x14ac:dyDescent="0.25">
      <c r="C477" s="74"/>
    </row>
    <row r="478" spans="3:3" x14ac:dyDescent="0.25">
      <c r="C478" s="74"/>
    </row>
    <row r="479" spans="3:3" x14ac:dyDescent="0.25">
      <c r="C479" s="74"/>
    </row>
    <row r="480" spans="3:3" x14ac:dyDescent="0.25">
      <c r="C480" s="74"/>
    </row>
    <row r="481" spans="3:3" x14ac:dyDescent="0.25">
      <c r="C481" s="74"/>
    </row>
    <row r="482" spans="3:3" x14ac:dyDescent="0.25">
      <c r="C482" s="74"/>
    </row>
    <row r="483" spans="3:3" x14ac:dyDescent="0.25">
      <c r="C483" s="74"/>
    </row>
    <row r="484" spans="3:3" x14ac:dyDescent="0.25">
      <c r="C484" s="74"/>
    </row>
    <row r="485" spans="3:3" x14ac:dyDescent="0.25">
      <c r="C485" s="74"/>
    </row>
    <row r="486" spans="3:3" x14ac:dyDescent="0.25">
      <c r="C486" s="74"/>
    </row>
    <row r="487" spans="3:3" x14ac:dyDescent="0.25">
      <c r="C487" s="74"/>
    </row>
    <row r="488" spans="3:3" x14ac:dyDescent="0.25">
      <c r="C488" s="74"/>
    </row>
    <row r="489" spans="3:3" x14ac:dyDescent="0.25">
      <c r="C489" s="74"/>
    </row>
    <row r="490" spans="3:3" x14ac:dyDescent="0.25">
      <c r="C490" s="74"/>
    </row>
    <row r="491" spans="3:3" x14ac:dyDescent="0.25">
      <c r="C491" s="74"/>
    </row>
    <row r="492" spans="3:3" x14ac:dyDescent="0.25">
      <c r="C492" s="74"/>
    </row>
    <row r="493" spans="3:3" x14ac:dyDescent="0.25">
      <c r="C493" s="74"/>
    </row>
    <row r="494" spans="3:3" x14ac:dyDescent="0.25">
      <c r="C494" s="74"/>
    </row>
    <row r="495" spans="3:3" x14ac:dyDescent="0.25">
      <c r="C495" s="74"/>
    </row>
    <row r="496" spans="3:3" x14ac:dyDescent="0.25">
      <c r="C496" s="74"/>
    </row>
    <row r="497" spans="3:3" x14ac:dyDescent="0.25">
      <c r="C497" s="74"/>
    </row>
    <row r="498" spans="3:3" x14ac:dyDescent="0.25">
      <c r="C498" s="74"/>
    </row>
    <row r="499" spans="3:3" x14ac:dyDescent="0.25">
      <c r="C499" s="74"/>
    </row>
    <row r="500" spans="3:3" x14ac:dyDescent="0.25">
      <c r="C500" s="74"/>
    </row>
    <row r="501" spans="3:3" x14ac:dyDescent="0.25">
      <c r="C501" s="74"/>
    </row>
    <row r="502" spans="3:3" x14ac:dyDescent="0.25">
      <c r="C502" s="74"/>
    </row>
    <row r="503" spans="3:3" x14ac:dyDescent="0.25">
      <c r="C503" s="74"/>
    </row>
    <row r="504" spans="3:3" x14ac:dyDescent="0.25">
      <c r="C504" s="74"/>
    </row>
    <row r="505" spans="3:3" x14ac:dyDescent="0.25">
      <c r="C505" s="74"/>
    </row>
    <row r="506" spans="3:3" x14ac:dyDescent="0.25">
      <c r="C506" s="74"/>
    </row>
    <row r="507" spans="3:3" x14ac:dyDescent="0.25">
      <c r="C507" s="74"/>
    </row>
    <row r="508" spans="3:3" x14ac:dyDescent="0.25">
      <c r="C508" s="74"/>
    </row>
    <row r="509" spans="3:3" x14ac:dyDescent="0.25">
      <c r="C509" s="74"/>
    </row>
    <row r="510" spans="3:3" x14ac:dyDescent="0.25">
      <c r="C510" s="74"/>
    </row>
    <row r="511" spans="3:3" x14ac:dyDescent="0.25">
      <c r="C511" s="74"/>
    </row>
    <row r="512" spans="3:3" x14ac:dyDescent="0.25">
      <c r="C512" s="74"/>
    </row>
    <row r="513" spans="3:3" x14ac:dyDescent="0.25">
      <c r="C513" s="74"/>
    </row>
    <row r="514" spans="3:3" x14ac:dyDescent="0.25">
      <c r="C514" s="74"/>
    </row>
    <row r="515" spans="3:3" x14ac:dyDescent="0.25">
      <c r="C515" s="74"/>
    </row>
    <row r="516" spans="3:3" x14ac:dyDescent="0.25">
      <c r="C516" s="74"/>
    </row>
    <row r="517" spans="3:3" x14ac:dyDescent="0.25">
      <c r="C517" s="74"/>
    </row>
    <row r="518" spans="3:3" x14ac:dyDescent="0.25">
      <c r="C518" s="74"/>
    </row>
    <row r="519" spans="3:3" x14ac:dyDescent="0.25">
      <c r="C519" s="74"/>
    </row>
    <row r="520" spans="3:3" x14ac:dyDescent="0.25">
      <c r="C520" s="74"/>
    </row>
    <row r="521" spans="3:3" x14ac:dyDescent="0.25">
      <c r="C521" s="74"/>
    </row>
    <row r="522" spans="3:3" x14ac:dyDescent="0.25">
      <c r="C522" s="74"/>
    </row>
    <row r="523" spans="3:3" x14ac:dyDescent="0.25">
      <c r="C523" s="74"/>
    </row>
    <row r="524" spans="3:3" x14ac:dyDescent="0.25">
      <c r="C524" s="74"/>
    </row>
    <row r="525" spans="3:3" x14ac:dyDescent="0.25">
      <c r="C525" s="74"/>
    </row>
    <row r="526" spans="3:3" x14ac:dyDescent="0.25">
      <c r="C526" s="74"/>
    </row>
    <row r="527" spans="3:3" x14ac:dyDescent="0.25">
      <c r="C527" s="74"/>
    </row>
    <row r="528" spans="3:3" x14ac:dyDescent="0.25">
      <c r="C528" s="74"/>
    </row>
    <row r="529" spans="3:3" x14ac:dyDescent="0.25">
      <c r="C529" s="74"/>
    </row>
    <row r="530" spans="3:3" x14ac:dyDescent="0.25">
      <c r="C530" s="74"/>
    </row>
    <row r="531" spans="3:3" x14ac:dyDescent="0.25">
      <c r="C531" s="74"/>
    </row>
    <row r="532" spans="3:3" x14ac:dyDescent="0.25">
      <c r="C532" s="74"/>
    </row>
    <row r="533" spans="3:3" x14ac:dyDescent="0.25">
      <c r="C533" s="74"/>
    </row>
    <row r="534" spans="3:3" x14ac:dyDescent="0.25">
      <c r="C534" s="74"/>
    </row>
    <row r="535" spans="3:3" x14ac:dyDescent="0.25">
      <c r="C535" s="74"/>
    </row>
    <row r="536" spans="3:3" x14ac:dyDescent="0.25">
      <c r="C536" s="74"/>
    </row>
    <row r="537" spans="3:3" x14ac:dyDescent="0.25">
      <c r="C537" s="74"/>
    </row>
    <row r="538" spans="3:3" x14ac:dyDescent="0.25">
      <c r="C538" s="74"/>
    </row>
    <row r="539" spans="3:3" x14ac:dyDescent="0.25">
      <c r="C539" s="74"/>
    </row>
    <row r="540" spans="3:3" x14ac:dyDescent="0.25">
      <c r="C540" s="74"/>
    </row>
    <row r="541" spans="3:3" x14ac:dyDescent="0.25">
      <c r="C541" s="74"/>
    </row>
    <row r="542" spans="3:3" x14ac:dyDescent="0.25">
      <c r="C542" s="74"/>
    </row>
    <row r="543" spans="3:3" x14ac:dyDescent="0.25">
      <c r="C543" s="74"/>
    </row>
    <row r="544" spans="3:3" x14ac:dyDescent="0.25">
      <c r="C544" s="74"/>
    </row>
    <row r="545" spans="3:3" x14ac:dyDescent="0.25">
      <c r="C545" s="74"/>
    </row>
    <row r="546" spans="3:3" x14ac:dyDescent="0.25">
      <c r="C546" s="74"/>
    </row>
    <row r="547" spans="3:3" x14ac:dyDescent="0.25">
      <c r="C547" s="74"/>
    </row>
    <row r="548" spans="3:3" x14ac:dyDescent="0.25">
      <c r="C548" s="74"/>
    </row>
    <row r="549" spans="3:3" x14ac:dyDescent="0.25">
      <c r="C549" s="74"/>
    </row>
    <row r="550" spans="3:3" x14ac:dyDescent="0.25">
      <c r="C550" s="74"/>
    </row>
    <row r="551" spans="3:3" x14ac:dyDescent="0.25">
      <c r="C551" s="74"/>
    </row>
    <row r="552" spans="3:3" x14ac:dyDescent="0.25">
      <c r="C552" s="74"/>
    </row>
    <row r="553" spans="3:3" x14ac:dyDescent="0.25">
      <c r="C553" s="74"/>
    </row>
    <row r="554" spans="3:3" x14ac:dyDescent="0.25">
      <c r="C554" s="74"/>
    </row>
    <row r="555" spans="3:3" x14ac:dyDescent="0.25">
      <c r="C555" s="74"/>
    </row>
    <row r="556" spans="3:3" x14ac:dyDescent="0.25">
      <c r="C556" s="74"/>
    </row>
    <row r="557" spans="3:3" x14ac:dyDescent="0.25">
      <c r="C557" s="74"/>
    </row>
    <row r="558" spans="3:3" x14ac:dyDescent="0.25">
      <c r="C558" s="74"/>
    </row>
    <row r="559" spans="3:3" x14ac:dyDescent="0.25">
      <c r="C559" s="74"/>
    </row>
    <row r="560" spans="3:3" x14ac:dyDescent="0.25">
      <c r="C560" s="74"/>
    </row>
    <row r="561" spans="3:3" x14ac:dyDescent="0.25">
      <c r="C561" s="74"/>
    </row>
    <row r="562" spans="3:3" x14ac:dyDescent="0.25">
      <c r="C562" s="74"/>
    </row>
    <row r="563" spans="3:3" x14ac:dyDescent="0.25">
      <c r="C563" s="74"/>
    </row>
    <row r="564" spans="3:3" x14ac:dyDescent="0.25">
      <c r="C564" s="74"/>
    </row>
    <row r="565" spans="3:3" x14ac:dyDescent="0.25">
      <c r="C565" s="74"/>
    </row>
    <row r="566" spans="3:3" x14ac:dyDescent="0.25">
      <c r="C566" s="74"/>
    </row>
    <row r="567" spans="3:3" x14ac:dyDescent="0.25">
      <c r="C567" s="74"/>
    </row>
    <row r="568" spans="3:3" x14ac:dyDescent="0.25">
      <c r="C568" s="74"/>
    </row>
    <row r="569" spans="3:3" x14ac:dyDescent="0.25">
      <c r="C569" s="74"/>
    </row>
    <row r="570" spans="3:3" x14ac:dyDescent="0.25">
      <c r="C570" s="74"/>
    </row>
    <row r="571" spans="3:3" x14ac:dyDescent="0.25">
      <c r="C571" s="74"/>
    </row>
    <row r="572" spans="3:3" x14ac:dyDescent="0.25">
      <c r="C572" s="74"/>
    </row>
    <row r="573" spans="3:3" x14ac:dyDescent="0.25">
      <c r="C573" s="74"/>
    </row>
    <row r="574" spans="3:3" x14ac:dyDescent="0.25">
      <c r="C574" s="74"/>
    </row>
    <row r="575" spans="3:3" x14ac:dyDescent="0.25">
      <c r="C575" s="74"/>
    </row>
    <row r="576" spans="3:3" x14ac:dyDescent="0.25">
      <c r="C576" s="74"/>
    </row>
    <row r="577" spans="3:3" x14ac:dyDescent="0.25">
      <c r="C577" s="74"/>
    </row>
    <row r="578" spans="3:3" x14ac:dyDescent="0.25">
      <c r="C578" s="74"/>
    </row>
    <row r="579" spans="3:3" x14ac:dyDescent="0.25">
      <c r="C579" s="74"/>
    </row>
    <row r="580" spans="3:3" x14ac:dyDescent="0.25">
      <c r="C580" s="74"/>
    </row>
    <row r="581" spans="3:3" x14ac:dyDescent="0.25">
      <c r="C581" s="74"/>
    </row>
    <row r="582" spans="3:3" x14ac:dyDescent="0.25">
      <c r="C582" s="74"/>
    </row>
    <row r="583" spans="3:3" x14ac:dyDescent="0.25">
      <c r="C583" s="74"/>
    </row>
    <row r="584" spans="3:3" x14ac:dyDescent="0.25">
      <c r="C584" s="74"/>
    </row>
    <row r="585" spans="3:3" x14ac:dyDescent="0.25">
      <c r="C585" s="74"/>
    </row>
    <row r="586" spans="3:3" x14ac:dyDescent="0.25">
      <c r="C586" s="74"/>
    </row>
    <row r="587" spans="3:3" x14ac:dyDescent="0.25">
      <c r="C587" s="74"/>
    </row>
    <row r="588" spans="3:3" x14ac:dyDescent="0.25">
      <c r="C588" s="74"/>
    </row>
    <row r="589" spans="3:3" x14ac:dyDescent="0.25">
      <c r="C589" s="74"/>
    </row>
    <row r="590" spans="3:3" x14ac:dyDescent="0.25">
      <c r="C590" s="74"/>
    </row>
    <row r="591" spans="3:3" x14ac:dyDescent="0.25">
      <c r="C591" s="74"/>
    </row>
    <row r="592" spans="3:3" x14ac:dyDescent="0.25">
      <c r="C592" s="74"/>
    </row>
    <row r="593" spans="3:3" x14ac:dyDescent="0.25">
      <c r="C593" s="74"/>
    </row>
    <row r="594" spans="3:3" x14ac:dyDescent="0.25">
      <c r="C594" s="74"/>
    </row>
    <row r="595" spans="3:3" x14ac:dyDescent="0.25">
      <c r="C595" s="74"/>
    </row>
    <row r="596" spans="3:3" x14ac:dyDescent="0.25">
      <c r="C596" s="74"/>
    </row>
    <row r="597" spans="3:3" x14ac:dyDescent="0.25">
      <c r="C597" s="74"/>
    </row>
    <row r="598" spans="3:3" x14ac:dyDescent="0.25">
      <c r="C598" s="74"/>
    </row>
    <row r="599" spans="3:3" x14ac:dyDescent="0.25">
      <c r="C599" s="74"/>
    </row>
    <row r="600" spans="3:3" x14ac:dyDescent="0.25">
      <c r="C600" s="74"/>
    </row>
    <row r="601" spans="3:3" x14ac:dyDescent="0.25">
      <c r="C601" s="74"/>
    </row>
    <row r="602" spans="3:3" x14ac:dyDescent="0.25">
      <c r="C602" s="74"/>
    </row>
    <row r="603" spans="3:3" x14ac:dyDescent="0.25">
      <c r="C603" s="74"/>
    </row>
    <row r="604" spans="3:3" x14ac:dyDescent="0.25">
      <c r="C604" s="74"/>
    </row>
    <row r="605" spans="3:3" x14ac:dyDescent="0.25">
      <c r="C605" s="74"/>
    </row>
    <row r="606" spans="3:3" x14ac:dyDescent="0.25">
      <c r="C606" s="74"/>
    </row>
    <row r="607" spans="3:3" x14ac:dyDescent="0.25">
      <c r="C607" s="74"/>
    </row>
    <row r="608" spans="3:3" x14ac:dyDescent="0.25">
      <c r="C608" s="74"/>
    </row>
    <row r="609" spans="3:3" x14ac:dyDescent="0.25">
      <c r="C609" s="74"/>
    </row>
    <row r="610" spans="3:3" x14ac:dyDescent="0.25">
      <c r="C610" s="74"/>
    </row>
    <row r="611" spans="3:3" x14ac:dyDescent="0.25">
      <c r="C611" s="74"/>
    </row>
    <row r="612" spans="3:3" x14ac:dyDescent="0.25">
      <c r="C612" s="74"/>
    </row>
    <row r="613" spans="3:3" x14ac:dyDescent="0.25">
      <c r="C613" s="74"/>
    </row>
    <row r="614" spans="3:3" x14ac:dyDescent="0.25">
      <c r="C614" s="74"/>
    </row>
    <row r="615" spans="3:3" x14ac:dyDescent="0.25">
      <c r="C615" s="74"/>
    </row>
    <row r="616" spans="3:3" x14ac:dyDescent="0.25">
      <c r="C616" s="74"/>
    </row>
    <row r="617" spans="3:3" x14ac:dyDescent="0.25">
      <c r="C617" s="74"/>
    </row>
    <row r="618" spans="3:3" x14ac:dyDescent="0.25">
      <c r="C618" s="74"/>
    </row>
    <row r="619" spans="3:3" x14ac:dyDescent="0.25">
      <c r="C619" s="74"/>
    </row>
    <row r="620" spans="3:3" x14ac:dyDescent="0.25">
      <c r="C620" s="74"/>
    </row>
    <row r="621" spans="3:3" x14ac:dyDescent="0.25">
      <c r="C621" s="74"/>
    </row>
    <row r="622" spans="3:3" x14ac:dyDescent="0.25">
      <c r="C622" s="74"/>
    </row>
    <row r="623" spans="3:3" x14ac:dyDescent="0.25">
      <c r="C623" s="74"/>
    </row>
    <row r="624" spans="3:3" x14ac:dyDescent="0.25">
      <c r="C624" s="74"/>
    </row>
    <row r="625" spans="3:3" x14ac:dyDescent="0.25">
      <c r="C625" s="74"/>
    </row>
    <row r="626" spans="3:3" x14ac:dyDescent="0.25">
      <c r="C626" s="74"/>
    </row>
    <row r="627" spans="3:3" x14ac:dyDescent="0.25">
      <c r="C627" s="74"/>
    </row>
    <row r="628" spans="3:3" x14ac:dyDescent="0.25">
      <c r="C628" s="74"/>
    </row>
    <row r="629" spans="3:3" x14ac:dyDescent="0.25">
      <c r="C629" s="74"/>
    </row>
    <row r="630" spans="3:3" x14ac:dyDescent="0.25">
      <c r="C630" s="74"/>
    </row>
    <row r="631" spans="3:3" x14ac:dyDescent="0.25">
      <c r="C631" s="74"/>
    </row>
    <row r="632" spans="3:3" x14ac:dyDescent="0.25">
      <c r="C632" s="74"/>
    </row>
    <row r="633" spans="3:3" x14ac:dyDescent="0.25">
      <c r="C633" s="74"/>
    </row>
    <row r="634" spans="3:3" x14ac:dyDescent="0.25">
      <c r="C634" s="74"/>
    </row>
    <row r="635" spans="3:3" x14ac:dyDescent="0.25">
      <c r="C635" s="74"/>
    </row>
    <row r="636" spans="3:3" x14ac:dyDescent="0.25">
      <c r="C636" s="74"/>
    </row>
    <row r="637" spans="3:3" x14ac:dyDescent="0.25">
      <c r="C637" s="74"/>
    </row>
    <row r="638" spans="3:3" x14ac:dyDescent="0.25">
      <c r="C638" s="74"/>
    </row>
    <row r="639" spans="3:3" x14ac:dyDescent="0.25">
      <c r="C639" s="74"/>
    </row>
    <row r="640" spans="3:3" x14ac:dyDescent="0.25">
      <c r="C640" s="74"/>
    </row>
    <row r="641" spans="3:3" x14ac:dyDescent="0.25">
      <c r="C641" s="74"/>
    </row>
    <row r="642" spans="3:3" x14ac:dyDescent="0.25">
      <c r="C642" s="74"/>
    </row>
    <row r="643" spans="3:3" x14ac:dyDescent="0.25">
      <c r="C643" s="74"/>
    </row>
    <row r="644" spans="3:3" x14ac:dyDescent="0.25">
      <c r="C644" s="74"/>
    </row>
    <row r="645" spans="3:3" x14ac:dyDescent="0.25">
      <c r="C645" s="74"/>
    </row>
    <row r="646" spans="3:3" x14ac:dyDescent="0.25">
      <c r="C646" s="74"/>
    </row>
    <row r="647" spans="3:3" x14ac:dyDescent="0.25">
      <c r="C647" s="74"/>
    </row>
    <row r="648" spans="3:3" x14ac:dyDescent="0.25">
      <c r="C648" s="74"/>
    </row>
    <row r="649" spans="3:3" x14ac:dyDescent="0.25">
      <c r="C649" s="74"/>
    </row>
    <row r="650" spans="3:3" x14ac:dyDescent="0.25">
      <c r="C650" s="74"/>
    </row>
    <row r="651" spans="3:3" x14ac:dyDescent="0.25">
      <c r="C651" s="74"/>
    </row>
    <row r="652" spans="3:3" x14ac:dyDescent="0.25">
      <c r="C652" s="74"/>
    </row>
    <row r="653" spans="3:3" x14ac:dyDescent="0.25">
      <c r="C653" s="74"/>
    </row>
    <row r="654" spans="3:3" x14ac:dyDescent="0.25">
      <c r="C654" s="74"/>
    </row>
    <row r="655" spans="3:3" x14ac:dyDescent="0.25">
      <c r="C655" s="74"/>
    </row>
    <row r="656" spans="3:3" x14ac:dyDescent="0.25">
      <c r="C656" s="74"/>
    </row>
    <row r="657" spans="3:3" x14ac:dyDescent="0.25">
      <c r="C657" s="74"/>
    </row>
    <row r="658" spans="3:3" x14ac:dyDescent="0.25">
      <c r="C658" s="74"/>
    </row>
    <row r="659" spans="3:3" x14ac:dyDescent="0.25">
      <c r="C659" s="74"/>
    </row>
    <row r="660" spans="3:3" x14ac:dyDescent="0.25">
      <c r="C660" s="74"/>
    </row>
    <row r="661" spans="3:3" x14ac:dyDescent="0.25">
      <c r="C661" s="74"/>
    </row>
    <row r="662" spans="3:3" x14ac:dyDescent="0.25">
      <c r="C662" s="74"/>
    </row>
    <row r="663" spans="3:3" x14ac:dyDescent="0.25">
      <c r="C663" s="74"/>
    </row>
    <row r="664" spans="3:3" x14ac:dyDescent="0.25">
      <c r="C664" s="74"/>
    </row>
    <row r="665" spans="3:3" x14ac:dyDescent="0.25">
      <c r="C665" s="74"/>
    </row>
    <row r="666" spans="3:3" x14ac:dyDescent="0.25">
      <c r="C666" s="74"/>
    </row>
    <row r="667" spans="3:3" x14ac:dyDescent="0.25">
      <c r="C667" s="74"/>
    </row>
    <row r="668" spans="3:3" x14ac:dyDescent="0.25">
      <c r="C668" s="74"/>
    </row>
    <row r="669" spans="3:3" x14ac:dyDescent="0.25">
      <c r="C669" s="74"/>
    </row>
    <row r="670" spans="3:3" x14ac:dyDescent="0.25">
      <c r="C670" s="74"/>
    </row>
    <row r="671" spans="3:3" x14ac:dyDescent="0.25">
      <c r="C671" s="74"/>
    </row>
    <row r="672" spans="3:3" x14ac:dyDescent="0.25">
      <c r="C672" s="74"/>
    </row>
    <row r="673" spans="3:3" x14ac:dyDescent="0.25">
      <c r="C673" s="74"/>
    </row>
    <row r="674" spans="3:3" x14ac:dyDescent="0.25">
      <c r="C674" s="74"/>
    </row>
    <row r="675" spans="3:3" x14ac:dyDescent="0.25">
      <c r="C675" s="74"/>
    </row>
    <row r="676" spans="3:3" x14ac:dyDescent="0.25">
      <c r="C676" s="74"/>
    </row>
    <row r="677" spans="3:3" x14ac:dyDescent="0.25">
      <c r="C677" s="74"/>
    </row>
    <row r="678" spans="3:3" x14ac:dyDescent="0.25">
      <c r="C678" s="74"/>
    </row>
    <row r="679" spans="3:3" x14ac:dyDescent="0.25">
      <c r="C679" s="74"/>
    </row>
    <row r="680" spans="3:3" x14ac:dyDescent="0.25">
      <c r="C680" s="74"/>
    </row>
    <row r="681" spans="3:3" x14ac:dyDescent="0.25">
      <c r="C681" s="74"/>
    </row>
    <row r="682" spans="3:3" x14ac:dyDescent="0.25">
      <c r="C682" s="74"/>
    </row>
    <row r="683" spans="3:3" x14ac:dyDescent="0.25">
      <c r="C683" s="74"/>
    </row>
    <row r="684" spans="3:3" x14ac:dyDescent="0.25">
      <c r="C684" s="74"/>
    </row>
    <row r="685" spans="3:3" x14ac:dyDescent="0.25">
      <c r="C685" s="74"/>
    </row>
    <row r="686" spans="3:3" x14ac:dyDescent="0.25">
      <c r="C686" s="74"/>
    </row>
    <row r="687" spans="3:3" x14ac:dyDescent="0.25">
      <c r="C687" s="74"/>
    </row>
    <row r="688" spans="3:3" x14ac:dyDescent="0.25">
      <c r="C688" s="74"/>
    </row>
    <row r="689" spans="3:3" x14ac:dyDescent="0.25">
      <c r="C689" s="74"/>
    </row>
    <row r="690" spans="3:3" x14ac:dyDescent="0.25">
      <c r="C690" s="74"/>
    </row>
    <row r="691" spans="3:3" x14ac:dyDescent="0.25">
      <c r="C691" s="74"/>
    </row>
    <row r="692" spans="3:3" x14ac:dyDescent="0.25">
      <c r="C692" s="74"/>
    </row>
    <row r="693" spans="3:3" x14ac:dyDescent="0.25">
      <c r="C693" s="74"/>
    </row>
    <row r="694" spans="3:3" x14ac:dyDescent="0.25">
      <c r="C694" s="74"/>
    </row>
    <row r="695" spans="3:3" x14ac:dyDescent="0.25">
      <c r="C695" s="74"/>
    </row>
    <row r="696" spans="3:3" x14ac:dyDescent="0.25">
      <c r="C696" s="74"/>
    </row>
    <row r="697" spans="3:3" x14ac:dyDescent="0.25">
      <c r="C697" s="74"/>
    </row>
    <row r="698" spans="3:3" x14ac:dyDescent="0.25">
      <c r="C698" s="74"/>
    </row>
    <row r="699" spans="3:3" x14ac:dyDescent="0.25">
      <c r="C699" s="74"/>
    </row>
    <row r="700" spans="3:3" x14ac:dyDescent="0.25">
      <c r="C700" s="74"/>
    </row>
    <row r="701" spans="3:3" x14ac:dyDescent="0.25">
      <c r="C701" s="74"/>
    </row>
    <row r="702" spans="3:3" x14ac:dyDescent="0.25">
      <c r="C702" s="74"/>
    </row>
    <row r="703" spans="3:3" x14ac:dyDescent="0.25">
      <c r="C703" s="74"/>
    </row>
    <row r="704" spans="3:3" x14ac:dyDescent="0.25">
      <c r="C704" s="74"/>
    </row>
    <row r="705" spans="3:3" x14ac:dyDescent="0.25">
      <c r="C705" s="74"/>
    </row>
    <row r="706" spans="3:3" x14ac:dyDescent="0.25">
      <c r="C706" s="74"/>
    </row>
    <row r="707" spans="3:3" x14ac:dyDescent="0.25">
      <c r="C707" s="74"/>
    </row>
    <row r="708" spans="3:3" x14ac:dyDescent="0.25">
      <c r="C708" s="74"/>
    </row>
    <row r="709" spans="3:3" x14ac:dyDescent="0.25">
      <c r="C709" s="74"/>
    </row>
    <row r="710" spans="3:3" x14ac:dyDescent="0.25">
      <c r="C710" s="74"/>
    </row>
    <row r="711" spans="3:3" x14ac:dyDescent="0.25">
      <c r="C711" s="74"/>
    </row>
    <row r="712" spans="3:3" x14ac:dyDescent="0.25">
      <c r="C712" s="74"/>
    </row>
    <row r="713" spans="3:3" x14ac:dyDescent="0.25">
      <c r="C713" s="74"/>
    </row>
    <row r="714" spans="3:3" x14ac:dyDescent="0.25">
      <c r="C714" s="74"/>
    </row>
    <row r="715" spans="3:3" x14ac:dyDescent="0.25">
      <c r="C715" s="74"/>
    </row>
    <row r="716" spans="3:3" x14ac:dyDescent="0.25">
      <c r="C716" s="74"/>
    </row>
    <row r="717" spans="3:3" x14ac:dyDescent="0.25">
      <c r="C717" s="74"/>
    </row>
    <row r="718" spans="3:3" x14ac:dyDescent="0.25">
      <c r="C718" s="74"/>
    </row>
    <row r="719" spans="3:3" x14ac:dyDescent="0.25">
      <c r="C719" s="74"/>
    </row>
    <row r="720" spans="3:3" x14ac:dyDescent="0.25">
      <c r="C720" s="74"/>
    </row>
    <row r="721" spans="3:3" x14ac:dyDescent="0.25">
      <c r="C721" s="74"/>
    </row>
    <row r="722" spans="3:3" x14ac:dyDescent="0.25">
      <c r="C722" s="74"/>
    </row>
    <row r="723" spans="3:3" x14ac:dyDescent="0.25">
      <c r="C723" s="74"/>
    </row>
    <row r="724" spans="3:3" x14ac:dyDescent="0.25">
      <c r="C724" s="74"/>
    </row>
    <row r="725" spans="3:3" x14ac:dyDescent="0.25">
      <c r="C725" s="74"/>
    </row>
    <row r="726" spans="3:3" x14ac:dyDescent="0.25">
      <c r="C726" s="74"/>
    </row>
    <row r="727" spans="3:3" x14ac:dyDescent="0.25">
      <c r="C727" s="74"/>
    </row>
    <row r="728" spans="3:3" x14ac:dyDescent="0.25">
      <c r="C728" s="74"/>
    </row>
    <row r="729" spans="3:3" x14ac:dyDescent="0.25">
      <c r="C729" s="74"/>
    </row>
    <row r="730" spans="3:3" x14ac:dyDescent="0.25">
      <c r="C730" s="74"/>
    </row>
    <row r="731" spans="3:3" x14ac:dyDescent="0.25">
      <c r="C731" s="74"/>
    </row>
    <row r="732" spans="3:3" x14ac:dyDescent="0.25">
      <c r="C732" s="74"/>
    </row>
    <row r="733" spans="3:3" x14ac:dyDescent="0.25">
      <c r="C733" s="74"/>
    </row>
    <row r="734" spans="3:3" x14ac:dyDescent="0.25">
      <c r="C734" s="74"/>
    </row>
    <row r="735" spans="3:3" x14ac:dyDescent="0.25">
      <c r="C735" s="74"/>
    </row>
    <row r="736" spans="3:3" x14ac:dyDescent="0.25">
      <c r="C736" s="74"/>
    </row>
    <row r="737" spans="3:3" x14ac:dyDescent="0.25">
      <c r="C737" s="74"/>
    </row>
    <row r="738" spans="3:3" x14ac:dyDescent="0.25">
      <c r="C738" s="74"/>
    </row>
    <row r="739" spans="3:3" x14ac:dyDescent="0.25">
      <c r="C739" s="74"/>
    </row>
    <row r="740" spans="3:3" x14ac:dyDescent="0.25">
      <c r="C740" s="74"/>
    </row>
    <row r="741" spans="3:3" x14ac:dyDescent="0.25">
      <c r="C741" s="74"/>
    </row>
    <row r="742" spans="3:3" x14ac:dyDescent="0.25">
      <c r="C742" s="74"/>
    </row>
    <row r="743" spans="3:3" x14ac:dyDescent="0.25">
      <c r="C743" s="74"/>
    </row>
    <row r="744" spans="3:3" x14ac:dyDescent="0.25">
      <c r="C744" s="74"/>
    </row>
    <row r="745" spans="3:3" x14ac:dyDescent="0.25">
      <c r="C745" s="74"/>
    </row>
    <row r="746" spans="3:3" x14ac:dyDescent="0.25">
      <c r="C746" s="74"/>
    </row>
    <row r="747" spans="3:3" x14ac:dyDescent="0.25">
      <c r="C747" s="74"/>
    </row>
    <row r="748" spans="3:3" x14ac:dyDescent="0.25">
      <c r="C748" s="74"/>
    </row>
    <row r="749" spans="3:3" x14ac:dyDescent="0.25">
      <c r="C749" s="74"/>
    </row>
    <row r="750" spans="3:3" x14ac:dyDescent="0.25">
      <c r="C750" s="74"/>
    </row>
    <row r="751" spans="3:3" x14ac:dyDescent="0.25">
      <c r="C751" s="74"/>
    </row>
    <row r="752" spans="3:3" x14ac:dyDescent="0.25">
      <c r="C752" s="74"/>
    </row>
    <row r="753" spans="3:3" x14ac:dyDescent="0.25">
      <c r="C753" s="74"/>
    </row>
    <row r="754" spans="3:3" x14ac:dyDescent="0.25">
      <c r="C754" s="74"/>
    </row>
    <row r="755" spans="3:3" x14ac:dyDescent="0.25">
      <c r="C755" s="74"/>
    </row>
    <row r="756" spans="3:3" x14ac:dyDescent="0.25">
      <c r="C756" s="74"/>
    </row>
    <row r="757" spans="3:3" x14ac:dyDescent="0.25">
      <c r="C757" s="74"/>
    </row>
    <row r="758" spans="3:3" x14ac:dyDescent="0.25">
      <c r="C758" s="74"/>
    </row>
    <row r="759" spans="3:3" x14ac:dyDescent="0.25">
      <c r="C759" s="74"/>
    </row>
    <row r="760" spans="3:3" x14ac:dyDescent="0.25">
      <c r="C760" s="74"/>
    </row>
    <row r="761" spans="3:3" x14ac:dyDescent="0.25">
      <c r="C761" s="74"/>
    </row>
    <row r="762" spans="3:3" x14ac:dyDescent="0.25">
      <c r="C762" s="74"/>
    </row>
    <row r="763" spans="3:3" x14ac:dyDescent="0.25">
      <c r="C763" s="74"/>
    </row>
    <row r="764" spans="3:3" x14ac:dyDescent="0.25">
      <c r="C764" s="74"/>
    </row>
    <row r="765" spans="3:3" x14ac:dyDescent="0.25">
      <c r="C765" s="74"/>
    </row>
    <row r="766" spans="3:3" x14ac:dyDescent="0.25">
      <c r="C766" s="74"/>
    </row>
    <row r="767" spans="3:3" x14ac:dyDescent="0.25">
      <c r="C767" s="74"/>
    </row>
    <row r="768" spans="3:3" x14ac:dyDescent="0.25">
      <c r="C768" s="74"/>
    </row>
    <row r="769" spans="3:3" x14ac:dyDescent="0.25">
      <c r="C769" s="74"/>
    </row>
    <row r="770" spans="3:3" x14ac:dyDescent="0.25">
      <c r="C770" s="74"/>
    </row>
    <row r="771" spans="3:3" x14ac:dyDescent="0.25">
      <c r="C771" s="74"/>
    </row>
    <row r="772" spans="3:3" x14ac:dyDescent="0.25">
      <c r="C772" s="74"/>
    </row>
    <row r="773" spans="3:3" x14ac:dyDescent="0.25">
      <c r="C773" s="74"/>
    </row>
    <row r="774" spans="3:3" x14ac:dyDescent="0.25">
      <c r="C774" s="74"/>
    </row>
    <row r="775" spans="3:3" x14ac:dyDescent="0.25">
      <c r="C775" s="74"/>
    </row>
    <row r="776" spans="3:3" x14ac:dyDescent="0.25">
      <c r="C776" s="74"/>
    </row>
    <row r="777" spans="3:3" x14ac:dyDescent="0.25">
      <c r="C777" s="74"/>
    </row>
    <row r="778" spans="3:3" x14ac:dyDescent="0.25">
      <c r="C778" s="74"/>
    </row>
    <row r="779" spans="3:3" x14ac:dyDescent="0.25">
      <c r="C779" s="74"/>
    </row>
    <row r="780" spans="3:3" x14ac:dyDescent="0.25">
      <c r="C780" s="74"/>
    </row>
    <row r="781" spans="3:3" x14ac:dyDescent="0.25">
      <c r="C781" s="74"/>
    </row>
    <row r="782" spans="3:3" x14ac:dyDescent="0.25">
      <c r="C782" s="74"/>
    </row>
    <row r="783" spans="3:3" x14ac:dyDescent="0.25">
      <c r="C783" s="74"/>
    </row>
    <row r="784" spans="3:3" x14ac:dyDescent="0.25">
      <c r="C784" s="74"/>
    </row>
    <row r="785" spans="3:3" x14ac:dyDescent="0.25">
      <c r="C785" s="74"/>
    </row>
    <row r="786" spans="3:3" x14ac:dyDescent="0.25">
      <c r="C786" s="74"/>
    </row>
    <row r="787" spans="3:3" x14ac:dyDescent="0.25">
      <c r="C787" s="74"/>
    </row>
    <row r="788" spans="3:3" x14ac:dyDescent="0.25">
      <c r="C788" s="74"/>
    </row>
    <row r="789" spans="3:3" x14ac:dyDescent="0.25">
      <c r="C789" s="74"/>
    </row>
    <row r="790" spans="3:3" x14ac:dyDescent="0.25">
      <c r="C790" s="74"/>
    </row>
    <row r="791" spans="3:3" x14ac:dyDescent="0.25">
      <c r="C791" s="74"/>
    </row>
    <row r="792" spans="3:3" x14ac:dyDescent="0.25">
      <c r="C792" s="74"/>
    </row>
    <row r="793" spans="3:3" x14ac:dyDescent="0.25">
      <c r="C793" s="74"/>
    </row>
    <row r="794" spans="3:3" x14ac:dyDescent="0.25">
      <c r="C794" s="74"/>
    </row>
    <row r="795" spans="3:3" x14ac:dyDescent="0.25">
      <c r="C795" s="74"/>
    </row>
    <row r="796" spans="3:3" x14ac:dyDescent="0.25">
      <c r="C796" s="74"/>
    </row>
    <row r="797" spans="3:3" x14ac:dyDescent="0.25">
      <c r="C797" s="74"/>
    </row>
    <row r="798" spans="3:3" x14ac:dyDescent="0.25">
      <c r="C798" s="74"/>
    </row>
    <row r="799" spans="3:3" x14ac:dyDescent="0.25">
      <c r="C799" s="74"/>
    </row>
    <row r="800" spans="3:3" x14ac:dyDescent="0.25">
      <c r="C800" s="74"/>
    </row>
    <row r="801" spans="3:3" x14ac:dyDescent="0.25">
      <c r="C801" s="74"/>
    </row>
    <row r="802" spans="3:3" x14ac:dyDescent="0.25">
      <c r="C802" s="74"/>
    </row>
    <row r="803" spans="3:3" x14ac:dyDescent="0.25">
      <c r="C803" s="74"/>
    </row>
    <row r="804" spans="3:3" x14ac:dyDescent="0.25">
      <c r="C804" s="74"/>
    </row>
    <row r="805" spans="3:3" x14ac:dyDescent="0.25">
      <c r="C805" s="74"/>
    </row>
    <row r="806" spans="3:3" x14ac:dyDescent="0.25">
      <c r="C806" s="74"/>
    </row>
    <row r="807" spans="3:3" x14ac:dyDescent="0.25">
      <c r="C807" s="74"/>
    </row>
    <row r="808" spans="3:3" x14ac:dyDescent="0.25">
      <c r="C808" s="74"/>
    </row>
    <row r="809" spans="3:3" x14ac:dyDescent="0.25">
      <c r="C809" s="74"/>
    </row>
    <row r="810" spans="3:3" x14ac:dyDescent="0.25">
      <c r="C810" s="74"/>
    </row>
    <row r="811" spans="3:3" x14ac:dyDescent="0.25">
      <c r="C811" s="74"/>
    </row>
    <row r="812" spans="3:3" x14ac:dyDescent="0.25">
      <c r="C812" s="74"/>
    </row>
    <row r="813" spans="3:3" x14ac:dyDescent="0.25">
      <c r="C813" s="74"/>
    </row>
    <row r="814" spans="3:3" x14ac:dyDescent="0.25">
      <c r="C814" s="74"/>
    </row>
    <row r="815" spans="3:3" x14ac:dyDescent="0.25">
      <c r="C815" s="74"/>
    </row>
    <row r="816" spans="3:3" x14ac:dyDescent="0.25">
      <c r="C816" s="74"/>
    </row>
    <row r="817" spans="3:3" x14ac:dyDescent="0.25">
      <c r="C817" s="74"/>
    </row>
    <row r="818" spans="3:3" x14ac:dyDescent="0.25">
      <c r="C818" s="74"/>
    </row>
    <row r="819" spans="3:3" x14ac:dyDescent="0.25">
      <c r="C819" s="74"/>
    </row>
    <row r="820" spans="3:3" x14ac:dyDescent="0.25">
      <c r="C820" s="74"/>
    </row>
    <row r="821" spans="3:3" x14ac:dyDescent="0.25">
      <c r="C821" s="74"/>
    </row>
    <row r="822" spans="3:3" x14ac:dyDescent="0.25">
      <c r="C822" s="74"/>
    </row>
    <row r="823" spans="3:3" x14ac:dyDescent="0.25">
      <c r="C823" s="74"/>
    </row>
    <row r="824" spans="3:3" x14ac:dyDescent="0.25">
      <c r="C824" s="74"/>
    </row>
    <row r="825" spans="3:3" x14ac:dyDescent="0.25">
      <c r="C825" s="74"/>
    </row>
    <row r="826" spans="3:3" x14ac:dyDescent="0.25">
      <c r="C826" s="74"/>
    </row>
    <row r="827" spans="3:3" x14ac:dyDescent="0.25">
      <c r="C827" s="74"/>
    </row>
    <row r="828" spans="3:3" x14ac:dyDescent="0.25">
      <c r="C828" s="74"/>
    </row>
    <row r="829" spans="3:3" x14ac:dyDescent="0.25">
      <c r="C829" s="74"/>
    </row>
    <row r="830" spans="3:3" x14ac:dyDescent="0.25">
      <c r="C830" s="74"/>
    </row>
    <row r="831" spans="3:3" x14ac:dyDescent="0.25">
      <c r="C831" s="74"/>
    </row>
    <row r="832" spans="3:3" x14ac:dyDescent="0.25">
      <c r="C832" s="74"/>
    </row>
    <row r="833" spans="3:3" x14ac:dyDescent="0.25">
      <c r="C833" s="74"/>
    </row>
    <row r="834" spans="3:3" x14ac:dyDescent="0.25">
      <c r="C834" s="74"/>
    </row>
    <row r="835" spans="3:3" x14ac:dyDescent="0.25">
      <c r="C835" s="74"/>
    </row>
    <row r="836" spans="3:3" x14ac:dyDescent="0.25">
      <c r="C836" s="74"/>
    </row>
    <row r="837" spans="3:3" x14ac:dyDescent="0.25">
      <c r="C837" s="74"/>
    </row>
    <row r="838" spans="3:3" x14ac:dyDescent="0.25">
      <c r="C838" s="74"/>
    </row>
    <row r="839" spans="3:3" x14ac:dyDescent="0.25">
      <c r="C839" s="74"/>
    </row>
    <row r="840" spans="3:3" x14ac:dyDescent="0.25">
      <c r="C840" s="74"/>
    </row>
    <row r="841" spans="3:3" x14ac:dyDescent="0.25">
      <c r="C841" s="74"/>
    </row>
    <row r="842" spans="3:3" x14ac:dyDescent="0.25">
      <c r="C842" s="74"/>
    </row>
    <row r="843" spans="3:3" x14ac:dyDescent="0.25">
      <c r="C843" s="74"/>
    </row>
    <row r="844" spans="3:3" x14ac:dyDescent="0.25">
      <c r="C844" s="74"/>
    </row>
    <row r="845" spans="3:3" x14ac:dyDescent="0.25">
      <c r="C845" s="74"/>
    </row>
    <row r="846" spans="3:3" x14ac:dyDescent="0.25">
      <c r="C846" s="74"/>
    </row>
    <row r="847" spans="3:3" x14ac:dyDescent="0.25">
      <c r="C847" s="74"/>
    </row>
    <row r="848" spans="3:3" x14ac:dyDescent="0.25">
      <c r="C848" s="74"/>
    </row>
    <row r="849" spans="3:3" x14ac:dyDescent="0.25">
      <c r="C849" s="74"/>
    </row>
    <row r="850" spans="3:3" x14ac:dyDescent="0.25">
      <c r="C850" s="74"/>
    </row>
    <row r="851" spans="3:3" x14ac:dyDescent="0.25">
      <c r="C851" s="74"/>
    </row>
    <row r="852" spans="3:3" x14ac:dyDescent="0.25">
      <c r="C852" s="74"/>
    </row>
    <row r="853" spans="3:3" x14ac:dyDescent="0.25">
      <c r="C853" s="74"/>
    </row>
    <row r="854" spans="3:3" x14ac:dyDescent="0.25">
      <c r="C854" s="74"/>
    </row>
    <row r="855" spans="3:3" x14ac:dyDescent="0.25">
      <c r="C855" s="74"/>
    </row>
    <row r="856" spans="3:3" x14ac:dyDescent="0.25">
      <c r="C856" s="74"/>
    </row>
    <row r="857" spans="3:3" x14ac:dyDescent="0.25">
      <c r="C857" s="74"/>
    </row>
    <row r="858" spans="3:3" x14ac:dyDescent="0.25">
      <c r="C858" s="74"/>
    </row>
    <row r="859" spans="3:3" x14ac:dyDescent="0.25">
      <c r="C859" s="74"/>
    </row>
    <row r="860" spans="3:3" x14ac:dyDescent="0.25">
      <c r="C860" s="74"/>
    </row>
    <row r="861" spans="3:3" x14ac:dyDescent="0.25">
      <c r="C861" s="74"/>
    </row>
    <row r="862" spans="3:3" x14ac:dyDescent="0.25">
      <c r="C862" s="74"/>
    </row>
    <row r="863" spans="3:3" x14ac:dyDescent="0.25">
      <c r="C863" s="74"/>
    </row>
    <row r="864" spans="3:3" x14ac:dyDescent="0.25">
      <c r="C864" s="74"/>
    </row>
    <row r="865" spans="3:3" x14ac:dyDescent="0.25">
      <c r="C865" s="74"/>
    </row>
    <row r="866" spans="3:3" x14ac:dyDescent="0.25">
      <c r="C866" s="74"/>
    </row>
    <row r="867" spans="3:3" x14ac:dyDescent="0.25">
      <c r="C867" s="74"/>
    </row>
    <row r="868" spans="3:3" x14ac:dyDescent="0.25">
      <c r="C868" s="74"/>
    </row>
    <row r="869" spans="3:3" x14ac:dyDescent="0.25">
      <c r="C869" s="74"/>
    </row>
    <row r="870" spans="3:3" x14ac:dyDescent="0.25">
      <c r="C870" s="74"/>
    </row>
    <row r="871" spans="3:3" x14ac:dyDescent="0.25">
      <c r="C871" s="74"/>
    </row>
    <row r="872" spans="3:3" x14ac:dyDescent="0.25">
      <c r="C872" s="74"/>
    </row>
    <row r="873" spans="3:3" x14ac:dyDescent="0.25">
      <c r="C873" s="74"/>
    </row>
    <row r="874" spans="3:3" x14ac:dyDescent="0.25">
      <c r="C874" s="74"/>
    </row>
    <row r="875" spans="3:3" x14ac:dyDescent="0.25">
      <c r="C875" s="74"/>
    </row>
    <row r="876" spans="3:3" x14ac:dyDescent="0.25">
      <c r="C876" s="74"/>
    </row>
    <row r="877" spans="3:3" x14ac:dyDescent="0.25">
      <c r="C877" s="74"/>
    </row>
    <row r="878" spans="3:3" x14ac:dyDescent="0.25">
      <c r="C878" s="74"/>
    </row>
    <row r="879" spans="3:3" x14ac:dyDescent="0.25">
      <c r="C879" s="74"/>
    </row>
    <row r="880" spans="3:3" x14ac:dyDescent="0.25">
      <c r="C880" s="74"/>
    </row>
    <row r="881" spans="3:3" x14ac:dyDescent="0.25">
      <c r="C881" s="74"/>
    </row>
    <row r="882" spans="3:3" x14ac:dyDescent="0.25">
      <c r="C882" s="74"/>
    </row>
    <row r="883" spans="3:3" x14ac:dyDescent="0.25">
      <c r="C883" s="74"/>
    </row>
    <row r="884" spans="3:3" x14ac:dyDescent="0.25">
      <c r="C884" s="74"/>
    </row>
    <row r="885" spans="3:3" x14ac:dyDescent="0.25">
      <c r="C885" s="74"/>
    </row>
    <row r="886" spans="3:3" x14ac:dyDescent="0.25">
      <c r="C886" s="74"/>
    </row>
    <row r="887" spans="3:3" x14ac:dyDescent="0.25">
      <c r="C887" s="74"/>
    </row>
    <row r="888" spans="3:3" x14ac:dyDescent="0.25">
      <c r="C888" s="74"/>
    </row>
    <row r="889" spans="3:3" x14ac:dyDescent="0.25">
      <c r="C889" s="74"/>
    </row>
    <row r="890" spans="3:3" x14ac:dyDescent="0.25">
      <c r="C890" s="74"/>
    </row>
    <row r="891" spans="3:3" x14ac:dyDescent="0.25">
      <c r="C891" s="74"/>
    </row>
    <row r="892" spans="3:3" x14ac:dyDescent="0.25">
      <c r="C892" s="74"/>
    </row>
    <row r="893" spans="3:3" x14ac:dyDescent="0.25">
      <c r="C893" s="74"/>
    </row>
    <row r="894" spans="3:3" x14ac:dyDescent="0.25">
      <c r="C894" s="74"/>
    </row>
    <row r="895" spans="3:3" x14ac:dyDescent="0.25">
      <c r="C895" s="74"/>
    </row>
    <row r="896" spans="3:3" x14ac:dyDescent="0.25">
      <c r="C896" s="74"/>
    </row>
    <row r="897" spans="3:3" x14ac:dyDescent="0.25">
      <c r="C897" s="74"/>
    </row>
    <row r="898" spans="3:3" x14ac:dyDescent="0.25">
      <c r="C898" s="74"/>
    </row>
    <row r="899" spans="3:3" x14ac:dyDescent="0.25">
      <c r="C899" s="74"/>
    </row>
    <row r="900" spans="3:3" x14ac:dyDescent="0.25">
      <c r="C900" s="74"/>
    </row>
    <row r="901" spans="3:3" x14ac:dyDescent="0.25">
      <c r="C901" s="74"/>
    </row>
    <row r="902" spans="3:3" x14ac:dyDescent="0.25">
      <c r="C902" s="74"/>
    </row>
    <row r="903" spans="3:3" x14ac:dyDescent="0.25">
      <c r="C903" s="74"/>
    </row>
    <row r="904" spans="3:3" x14ac:dyDescent="0.25">
      <c r="C904" s="74"/>
    </row>
    <row r="905" spans="3:3" x14ac:dyDescent="0.25">
      <c r="C905" s="74"/>
    </row>
    <row r="906" spans="3:3" x14ac:dyDescent="0.25">
      <c r="C906" s="74"/>
    </row>
    <row r="907" spans="3:3" x14ac:dyDescent="0.25">
      <c r="C907" s="74"/>
    </row>
    <row r="908" spans="3:3" x14ac:dyDescent="0.25">
      <c r="C908" s="74"/>
    </row>
    <row r="909" spans="3:3" x14ac:dyDescent="0.25">
      <c r="C909" s="74"/>
    </row>
    <row r="910" spans="3:3" x14ac:dyDescent="0.25">
      <c r="C910" s="74"/>
    </row>
    <row r="911" spans="3:3" x14ac:dyDescent="0.25">
      <c r="C911" s="74"/>
    </row>
    <row r="912" spans="3:3" x14ac:dyDescent="0.25">
      <c r="C912" s="74"/>
    </row>
    <row r="913" spans="3:3" x14ac:dyDescent="0.25">
      <c r="C913" s="74"/>
    </row>
    <row r="914" spans="3:3" x14ac:dyDescent="0.25">
      <c r="C914" s="74"/>
    </row>
    <row r="915" spans="3:3" x14ac:dyDescent="0.25">
      <c r="C915" s="74"/>
    </row>
    <row r="916" spans="3:3" x14ac:dyDescent="0.25">
      <c r="C916" s="74"/>
    </row>
    <row r="917" spans="3:3" x14ac:dyDescent="0.25">
      <c r="C917" s="74"/>
    </row>
    <row r="918" spans="3:3" x14ac:dyDescent="0.25">
      <c r="C918" s="74"/>
    </row>
    <row r="919" spans="3:3" x14ac:dyDescent="0.25">
      <c r="C919" s="74"/>
    </row>
    <row r="920" spans="3:3" x14ac:dyDescent="0.25">
      <c r="C920" s="74"/>
    </row>
    <row r="921" spans="3:3" x14ac:dyDescent="0.25">
      <c r="C921" s="74"/>
    </row>
    <row r="922" spans="3:3" x14ac:dyDescent="0.25">
      <c r="C922" s="74"/>
    </row>
    <row r="923" spans="3:3" x14ac:dyDescent="0.25">
      <c r="C923" s="74"/>
    </row>
    <row r="924" spans="3:3" x14ac:dyDescent="0.25">
      <c r="C924" s="74"/>
    </row>
    <row r="925" spans="3:3" x14ac:dyDescent="0.25">
      <c r="C925" s="74"/>
    </row>
    <row r="926" spans="3:3" x14ac:dyDescent="0.25">
      <c r="C926" s="74"/>
    </row>
    <row r="927" spans="3:3" x14ac:dyDescent="0.25">
      <c r="C927" s="74"/>
    </row>
    <row r="928" spans="3:3" x14ac:dyDescent="0.25">
      <c r="C928" s="74"/>
    </row>
    <row r="929" spans="3:3" x14ac:dyDescent="0.25">
      <c r="C929" s="74"/>
    </row>
    <row r="930" spans="3:3" x14ac:dyDescent="0.25">
      <c r="C930" s="74"/>
    </row>
    <row r="931" spans="3:3" x14ac:dyDescent="0.25">
      <c r="C931" s="74"/>
    </row>
    <row r="932" spans="3:3" x14ac:dyDescent="0.25">
      <c r="C932" s="74"/>
    </row>
    <row r="933" spans="3:3" x14ac:dyDescent="0.25">
      <c r="C933" s="74"/>
    </row>
    <row r="934" spans="3:3" x14ac:dyDescent="0.25">
      <c r="C934" s="74"/>
    </row>
    <row r="935" spans="3:3" x14ac:dyDescent="0.25">
      <c r="C935" s="74"/>
    </row>
    <row r="936" spans="3:3" x14ac:dyDescent="0.25">
      <c r="C936" s="74"/>
    </row>
    <row r="937" spans="3:3" x14ac:dyDescent="0.25">
      <c r="C937" s="74"/>
    </row>
    <row r="938" spans="3:3" x14ac:dyDescent="0.25">
      <c r="C938" s="74"/>
    </row>
    <row r="939" spans="3:3" x14ac:dyDescent="0.25">
      <c r="C939" s="74"/>
    </row>
    <row r="940" spans="3:3" x14ac:dyDescent="0.25">
      <c r="C940" s="74"/>
    </row>
    <row r="941" spans="3:3" x14ac:dyDescent="0.25">
      <c r="C941" s="74"/>
    </row>
    <row r="942" spans="3:3" x14ac:dyDescent="0.25">
      <c r="C942" s="74"/>
    </row>
    <row r="943" spans="3:3" x14ac:dyDescent="0.25">
      <c r="C943" s="74"/>
    </row>
    <row r="944" spans="3:3" x14ac:dyDescent="0.25">
      <c r="C944" s="74"/>
    </row>
    <row r="945" spans="3:3" x14ac:dyDescent="0.25">
      <c r="C945" s="74"/>
    </row>
    <row r="946" spans="3:3" x14ac:dyDescent="0.25">
      <c r="C946" s="74"/>
    </row>
    <row r="947" spans="3:3" x14ac:dyDescent="0.25">
      <c r="C947" s="74"/>
    </row>
    <row r="948" spans="3:3" x14ac:dyDescent="0.25">
      <c r="C948" s="74"/>
    </row>
    <row r="949" spans="3:3" x14ac:dyDescent="0.25">
      <c r="C949" s="74"/>
    </row>
    <row r="950" spans="3:3" x14ac:dyDescent="0.25">
      <c r="C950" s="74"/>
    </row>
    <row r="951" spans="3:3" x14ac:dyDescent="0.25">
      <c r="C951" s="74"/>
    </row>
    <row r="952" spans="3:3" x14ac:dyDescent="0.25">
      <c r="C952" s="74"/>
    </row>
    <row r="953" spans="3:3" x14ac:dyDescent="0.25">
      <c r="C953" s="74"/>
    </row>
    <row r="954" spans="3:3" x14ac:dyDescent="0.25">
      <c r="C954" s="74"/>
    </row>
    <row r="955" spans="3:3" x14ac:dyDescent="0.25">
      <c r="C955" s="74"/>
    </row>
    <row r="956" spans="3:3" x14ac:dyDescent="0.25">
      <c r="C956" s="74"/>
    </row>
    <row r="957" spans="3:3" x14ac:dyDescent="0.25">
      <c r="C957" s="74"/>
    </row>
    <row r="958" spans="3:3" x14ac:dyDescent="0.25">
      <c r="C958" s="74"/>
    </row>
    <row r="959" spans="3:3" x14ac:dyDescent="0.25">
      <c r="C959" s="74"/>
    </row>
    <row r="960" spans="3:3" x14ac:dyDescent="0.25">
      <c r="C960" s="74"/>
    </row>
    <row r="961" spans="3:3" x14ac:dyDescent="0.25">
      <c r="C961" s="74"/>
    </row>
    <row r="962" spans="3:3" x14ac:dyDescent="0.25">
      <c r="C962" s="74"/>
    </row>
    <row r="963" spans="3:3" x14ac:dyDescent="0.25">
      <c r="C963" s="74"/>
    </row>
    <row r="964" spans="3:3" x14ac:dyDescent="0.25">
      <c r="C964" s="74"/>
    </row>
    <row r="965" spans="3:3" x14ac:dyDescent="0.25">
      <c r="C965" s="74"/>
    </row>
    <row r="966" spans="3:3" x14ac:dyDescent="0.25">
      <c r="C966" s="74"/>
    </row>
    <row r="967" spans="3:3" x14ac:dyDescent="0.25">
      <c r="C967" s="74"/>
    </row>
    <row r="968" spans="3:3" x14ac:dyDescent="0.25">
      <c r="C968" s="74"/>
    </row>
    <row r="969" spans="3:3" x14ac:dyDescent="0.25">
      <c r="C969" s="74"/>
    </row>
    <row r="970" spans="3:3" x14ac:dyDescent="0.25">
      <c r="C970" s="74"/>
    </row>
    <row r="971" spans="3:3" x14ac:dyDescent="0.25">
      <c r="C971" s="74"/>
    </row>
    <row r="972" spans="3:3" x14ac:dyDescent="0.25">
      <c r="C972" s="74"/>
    </row>
    <row r="973" spans="3:3" x14ac:dyDescent="0.25">
      <c r="C973" s="74"/>
    </row>
    <row r="974" spans="3:3" x14ac:dyDescent="0.25">
      <c r="C974" s="74"/>
    </row>
    <row r="975" spans="3:3" x14ac:dyDescent="0.25">
      <c r="C975" s="74"/>
    </row>
    <row r="976" spans="3:3" x14ac:dyDescent="0.25">
      <c r="C976" s="74"/>
    </row>
    <row r="977" spans="3:3" x14ac:dyDescent="0.25">
      <c r="C977" s="74"/>
    </row>
    <row r="978" spans="3:3" x14ac:dyDescent="0.25">
      <c r="C978" s="74"/>
    </row>
    <row r="979" spans="3:3" x14ac:dyDescent="0.25">
      <c r="C979" s="74"/>
    </row>
    <row r="980" spans="3:3" x14ac:dyDescent="0.25">
      <c r="C980" s="74"/>
    </row>
    <row r="981" spans="3:3" x14ac:dyDescent="0.25">
      <c r="C981" s="74"/>
    </row>
    <row r="982" spans="3:3" x14ac:dyDescent="0.25">
      <c r="C982" s="74"/>
    </row>
    <row r="983" spans="3:3" x14ac:dyDescent="0.25">
      <c r="C983" s="74"/>
    </row>
    <row r="984" spans="3:3" x14ac:dyDescent="0.25">
      <c r="C984" s="74"/>
    </row>
    <row r="985" spans="3:3" x14ac:dyDescent="0.25">
      <c r="C985" s="74"/>
    </row>
    <row r="986" spans="3:3" x14ac:dyDescent="0.25">
      <c r="C986" s="74"/>
    </row>
    <row r="987" spans="3:3" x14ac:dyDescent="0.25">
      <c r="C987" s="74"/>
    </row>
    <row r="988" spans="3:3" x14ac:dyDescent="0.25">
      <c r="C988" s="74"/>
    </row>
    <row r="989" spans="3:3" x14ac:dyDescent="0.25">
      <c r="C989" s="74"/>
    </row>
    <row r="990" spans="3:3" x14ac:dyDescent="0.25">
      <c r="C990" s="74"/>
    </row>
    <row r="991" spans="3:3" x14ac:dyDescent="0.25">
      <c r="C991" s="74"/>
    </row>
    <row r="992" spans="3:3" x14ac:dyDescent="0.25">
      <c r="C992" s="74"/>
    </row>
    <row r="993" spans="3:3" x14ac:dyDescent="0.25">
      <c r="C993" s="74"/>
    </row>
    <row r="994" spans="3:3" x14ac:dyDescent="0.25">
      <c r="C994" s="74"/>
    </row>
    <row r="995" spans="3:3" x14ac:dyDescent="0.25">
      <c r="C995" s="74"/>
    </row>
    <row r="996" spans="3:3" x14ac:dyDescent="0.25">
      <c r="C996" s="74"/>
    </row>
    <row r="997" spans="3:3" x14ac:dyDescent="0.25">
      <c r="C997" s="74"/>
    </row>
    <row r="998" spans="3:3" x14ac:dyDescent="0.25">
      <c r="C998" s="74"/>
    </row>
  </sheetData>
  <sheetProtection algorithmName="SHA-512" hashValue="OA4opEpmBtjTjleUOd6USvlgxVXnCkxdaqoA/fa8Z0ZBauTlEx2j9KWN6+3OL1iON53GXqthqt17fQh3uvm4fQ==" saltValue="KkcONWs/pDU3eZbubRf5yQ==" spinCount="100000" sheet="1" objects="1" scenarios="1"/>
  <sortState xmlns:xlrd2="http://schemas.microsoft.com/office/spreadsheetml/2017/richdata2" ref="A3:A24">
    <sortCondition ref="A3"/>
  </sortState>
  <pageMargins left="0.7" right="0.7" top="0.75" bottom="0.75" header="0.3" footer="0.3"/>
  <pageSetup paperSize="5" orientation="landscape" r:id="rId1"/>
  <headerFooter>
    <oddFooter>&amp;L_x000D_&amp;1#&amp;"Calibri"&amp;8&amp;K000000 Sensitivity: Internal</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46386-39A8-4777-BB59-486C454DA5DD}">
  <dimension ref="A1:RQ995"/>
  <sheetViews>
    <sheetView tabSelected="1" workbookViewId="0">
      <selection activeCell="D7" sqref="D7"/>
    </sheetView>
  </sheetViews>
  <sheetFormatPr defaultColWidth="9.140625" defaultRowHeight="15.75" x14ac:dyDescent="0.25"/>
  <cols>
    <col min="1" max="1" width="23.85546875" style="31" customWidth="1"/>
    <col min="2" max="2" width="13.28515625" style="28" customWidth="1"/>
    <col min="3" max="3" width="14.5703125" style="76" customWidth="1"/>
    <col min="4" max="4" width="17.42578125" style="28" customWidth="1"/>
    <col min="5" max="5" width="13.7109375" style="28" customWidth="1"/>
    <col min="6" max="6" width="18.85546875" style="28" customWidth="1"/>
    <col min="7" max="7" width="15" style="28" customWidth="1"/>
    <col min="8" max="8" width="14.140625" style="28" customWidth="1"/>
    <col min="9" max="9" width="15.28515625" style="28" customWidth="1"/>
    <col min="10" max="10" width="15.85546875" style="28" customWidth="1"/>
    <col min="11" max="11" width="14.5703125" style="28" customWidth="1"/>
    <col min="12" max="12" width="15.85546875" style="28" customWidth="1"/>
    <col min="13" max="13" width="15" style="28" customWidth="1"/>
    <col min="14" max="14" width="14.140625" style="28" customWidth="1"/>
    <col min="15" max="15" width="15.7109375" style="28" customWidth="1"/>
    <col min="16" max="16" width="17.42578125" style="28" customWidth="1"/>
    <col min="17" max="17" width="15.28515625" style="28" customWidth="1"/>
    <col min="18" max="18" width="16.5703125" style="28" customWidth="1"/>
    <col min="19" max="19" width="13.7109375" style="28" customWidth="1"/>
    <col min="20" max="20" width="22.140625" style="58" customWidth="1"/>
    <col min="21" max="21" width="13" style="28" customWidth="1"/>
    <col min="22" max="16384" width="9.140625" style="28"/>
  </cols>
  <sheetData>
    <row r="1" spans="1:485" x14ac:dyDescent="0.25">
      <c r="A1" s="51" t="s">
        <v>0</v>
      </c>
      <c r="B1" s="52" t="s">
        <v>139</v>
      </c>
      <c r="C1" s="53" t="s">
        <v>136</v>
      </c>
      <c r="D1" s="54" t="s">
        <v>1</v>
      </c>
      <c r="E1" s="54" t="s">
        <v>2</v>
      </c>
      <c r="F1" s="54" t="s">
        <v>3</v>
      </c>
      <c r="G1" s="54" t="s">
        <v>128</v>
      </c>
      <c r="H1" s="54" t="s">
        <v>129</v>
      </c>
      <c r="I1" s="54" t="s">
        <v>130</v>
      </c>
      <c r="J1" s="54" t="s">
        <v>137</v>
      </c>
      <c r="K1" s="54" t="s">
        <v>132</v>
      </c>
      <c r="L1" s="54" t="s">
        <v>133</v>
      </c>
      <c r="M1" s="54" t="s">
        <v>134</v>
      </c>
      <c r="N1" s="54" t="s">
        <v>131</v>
      </c>
      <c r="O1" s="54" t="s">
        <v>4</v>
      </c>
      <c r="P1" s="54" t="s">
        <v>125</v>
      </c>
      <c r="Q1" s="54" t="s">
        <v>127</v>
      </c>
      <c r="R1" s="54" t="s">
        <v>5</v>
      </c>
      <c r="S1" s="54" t="s">
        <v>126</v>
      </c>
      <c r="T1" s="55" t="s">
        <v>135</v>
      </c>
    </row>
    <row r="2" spans="1:485" s="56" customFormat="1" ht="17.25" customHeight="1" x14ac:dyDescent="0.25">
      <c r="A2" s="31" t="s">
        <v>6</v>
      </c>
      <c r="B2" s="57">
        <v>45196</v>
      </c>
      <c r="C2" s="58">
        <v>38</v>
      </c>
      <c r="D2" s="59">
        <v>1680.66</v>
      </c>
      <c r="E2" s="59">
        <v>2777.75</v>
      </c>
      <c r="F2" s="59">
        <v>7813.29</v>
      </c>
      <c r="G2" s="59">
        <v>745.58</v>
      </c>
      <c r="H2" s="59">
        <v>437.31</v>
      </c>
      <c r="I2" s="59">
        <v>931.88</v>
      </c>
      <c r="J2" s="59">
        <v>1457.1</v>
      </c>
      <c r="K2" s="59">
        <v>1037.9100000000001</v>
      </c>
      <c r="L2" s="59"/>
      <c r="M2" s="59">
        <v>262.38</v>
      </c>
      <c r="N2" s="81">
        <v>1007.97</v>
      </c>
      <c r="O2" s="81">
        <v>2290.94</v>
      </c>
      <c r="P2" s="81">
        <v>4</v>
      </c>
      <c r="Q2" s="78"/>
      <c r="R2" s="59">
        <v>3497.88</v>
      </c>
      <c r="S2" s="60">
        <v>2319.1</v>
      </c>
      <c r="T2" s="61">
        <f t="shared" ref="T2:T11" si="0">SUM(D2:S2)</f>
        <v>26263.75</v>
      </c>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c r="IO2" s="28"/>
      <c r="IP2" s="28"/>
      <c r="IQ2" s="28"/>
      <c r="IR2" s="28"/>
      <c r="IS2" s="28"/>
      <c r="IT2" s="28"/>
      <c r="IU2" s="28"/>
      <c r="IV2" s="28"/>
      <c r="IW2" s="28"/>
      <c r="IX2" s="28"/>
      <c r="IY2" s="28"/>
      <c r="IZ2" s="28"/>
      <c r="JA2" s="28"/>
      <c r="JB2" s="28"/>
      <c r="JC2" s="28"/>
      <c r="JD2" s="28"/>
      <c r="JE2" s="28"/>
      <c r="JF2" s="28"/>
      <c r="JG2" s="28"/>
      <c r="JH2" s="28"/>
      <c r="JI2" s="28"/>
      <c r="JJ2" s="28"/>
      <c r="JK2" s="28"/>
      <c r="JL2" s="28"/>
      <c r="JM2" s="28"/>
      <c r="JN2" s="28"/>
      <c r="JO2" s="28"/>
      <c r="JP2" s="28"/>
      <c r="JQ2" s="28"/>
      <c r="JR2" s="28"/>
      <c r="JS2" s="28"/>
      <c r="JT2" s="28"/>
      <c r="JU2" s="28"/>
      <c r="JV2" s="28"/>
      <c r="JW2" s="28"/>
      <c r="JX2" s="28"/>
      <c r="JY2" s="28"/>
      <c r="JZ2" s="28"/>
      <c r="KA2" s="28"/>
      <c r="KB2" s="28"/>
      <c r="KC2" s="28"/>
      <c r="KD2" s="28"/>
      <c r="KE2" s="28"/>
      <c r="KF2" s="28"/>
      <c r="KG2" s="28"/>
      <c r="KH2" s="28"/>
      <c r="KI2" s="28"/>
      <c r="KJ2" s="28"/>
      <c r="KK2" s="28"/>
      <c r="KL2" s="28"/>
      <c r="KM2" s="28"/>
      <c r="KN2" s="28"/>
      <c r="KO2" s="28"/>
      <c r="KP2" s="28"/>
      <c r="KQ2" s="28"/>
      <c r="KR2" s="28"/>
      <c r="KS2" s="28"/>
      <c r="KT2" s="28"/>
      <c r="KU2" s="28"/>
      <c r="KV2" s="28"/>
      <c r="KW2" s="28"/>
      <c r="KX2" s="28"/>
      <c r="KY2" s="28"/>
      <c r="KZ2" s="28"/>
      <c r="LA2" s="28"/>
      <c r="LB2" s="28"/>
      <c r="LC2" s="28"/>
      <c r="LD2" s="28"/>
      <c r="LE2" s="28"/>
      <c r="LF2" s="28"/>
      <c r="LG2" s="28"/>
      <c r="LH2" s="28"/>
      <c r="LI2" s="28"/>
      <c r="LJ2" s="28"/>
      <c r="LK2" s="28"/>
      <c r="LL2" s="28"/>
      <c r="LM2" s="28"/>
      <c r="LN2" s="28"/>
      <c r="LO2" s="28"/>
      <c r="LP2" s="28"/>
      <c r="LQ2" s="28"/>
      <c r="LR2" s="28"/>
      <c r="LS2" s="28"/>
      <c r="LT2" s="28"/>
      <c r="LU2" s="28"/>
      <c r="LV2" s="28"/>
      <c r="LW2" s="28"/>
      <c r="LX2" s="28"/>
      <c r="LY2" s="28"/>
      <c r="LZ2" s="28"/>
      <c r="MA2" s="28"/>
      <c r="MB2" s="28"/>
      <c r="MC2" s="28"/>
      <c r="MD2" s="28"/>
      <c r="ME2" s="28"/>
      <c r="MF2" s="28"/>
      <c r="MG2" s="28"/>
      <c r="MH2" s="28"/>
      <c r="MI2" s="28"/>
      <c r="MJ2" s="28"/>
      <c r="MK2" s="28"/>
      <c r="ML2" s="28"/>
      <c r="MM2" s="28"/>
      <c r="MN2" s="28"/>
      <c r="MO2" s="28"/>
      <c r="MP2" s="28"/>
      <c r="MQ2" s="28"/>
      <c r="MR2" s="28"/>
      <c r="MS2" s="28"/>
      <c r="MT2" s="28"/>
      <c r="MU2" s="28"/>
      <c r="MV2" s="28"/>
      <c r="MW2" s="28"/>
      <c r="MX2" s="28"/>
      <c r="MY2" s="28"/>
      <c r="MZ2" s="28"/>
      <c r="NA2" s="28"/>
      <c r="NB2" s="28"/>
      <c r="NC2" s="28"/>
      <c r="ND2" s="28"/>
      <c r="NE2" s="28"/>
      <c r="NF2" s="28"/>
      <c r="NG2" s="28"/>
      <c r="NH2" s="28"/>
      <c r="NI2" s="28"/>
      <c r="NJ2" s="28"/>
      <c r="NK2" s="28"/>
      <c r="NL2" s="28"/>
      <c r="NM2" s="28"/>
      <c r="NN2" s="28"/>
      <c r="NO2" s="28"/>
      <c r="NP2" s="28"/>
      <c r="NQ2" s="28"/>
      <c r="NR2" s="28"/>
      <c r="NS2" s="28"/>
      <c r="NT2" s="28"/>
      <c r="NU2" s="28"/>
      <c r="NV2" s="28"/>
      <c r="NW2" s="28"/>
      <c r="NX2" s="28"/>
      <c r="NY2" s="28"/>
      <c r="NZ2" s="28"/>
      <c r="OA2" s="28"/>
      <c r="OB2" s="28"/>
      <c r="OC2" s="28"/>
      <c r="OD2" s="28"/>
      <c r="OE2" s="28"/>
      <c r="OF2" s="28"/>
      <c r="OG2" s="28"/>
      <c r="OH2" s="28"/>
      <c r="OI2" s="28"/>
      <c r="OJ2" s="28"/>
      <c r="OK2" s="28"/>
      <c r="OL2" s="28"/>
      <c r="OM2" s="28"/>
      <c r="ON2" s="28"/>
      <c r="OO2" s="28"/>
      <c r="OP2" s="28"/>
      <c r="OQ2" s="28"/>
      <c r="OR2" s="28"/>
      <c r="OS2" s="28"/>
      <c r="OT2" s="28"/>
      <c r="OU2" s="28"/>
      <c r="OV2" s="28"/>
      <c r="OW2" s="28"/>
      <c r="OX2" s="28"/>
      <c r="OY2" s="28"/>
      <c r="OZ2" s="28"/>
      <c r="PA2" s="28"/>
      <c r="PB2" s="28"/>
      <c r="PC2" s="28"/>
      <c r="PD2" s="28"/>
      <c r="PE2" s="28"/>
      <c r="PF2" s="28"/>
      <c r="PG2" s="28"/>
      <c r="PH2" s="28"/>
      <c r="PI2" s="28"/>
      <c r="PJ2" s="28"/>
      <c r="PK2" s="28"/>
      <c r="PL2" s="28"/>
      <c r="PM2" s="28"/>
      <c r="PN2" s="28"/>
      <c r="PO2" s="28"/>
      <c r="PP2" s="28"/>
      <c r="PQ2" s="28"/>
      <c r="PR2" s="28"/>
      <c r="PS2" s="28"/>
      <c r="PT2" s="28"/>
      <c r="PU2" s="28"/>
      <c r="PV2" s="28"/>
      <c r="PW2" s="28"/>
      <c r="PX2" s="28"/>
      <c r="PY2" s="28"/>
      <c r="PZ2" s="28"/>
      <c r="QA2" s="28"/>
      <c r="QB2" s="28"/>
      <c r="QC2" s="28"/>
      <c r="QD2" s="28"/>
      <c r="QE2" s="28"/>
      <c r="QF2" s="28"/>
      <c r="QG2" s="28"/>
      <c r="QH2" s="28"/>
      <c r="QI2" s="28"/>
      <c r="QJ2" s="28"/>
      <c r="QK2" s="28"/>
      <c r="QL2" s="28"/>
      <c r="QM2" s="28"/>
      <c r="QN2" s="28"/>
      <c r="QO2" s="28"/>
      <c r="QP2" s="28"/>
      <c r="QQ2" s="28"/>
      <c r="QR2" s="28"/>
      <c r="QS2" s="28"/>
      <c r="QT2" s="28"/>
      <c r="QU2" s="28"/>
      <c r="QV2" s="28"/>
      <c r="QW2" s="28"/>
      <c r="QX2" s="28"/>
      <c r="QY2" s="28"/>
      <c r="QZ2" s="28"/>
      <c r="RA2" s="28"/>
      <c r="RB2" s="28"/>
      <c r="RC2" s="28"/>
      <c r="RD2" s="28"/>
      <c r="RE2" s="28"/>
      <c r="RF2" s="28"/>
      <c r="RG2" s="28"/>
      <c r="RH2" s="28"/>
      <c r="RI2" s="28"/>
      <c r="RJ2" s="28"/>
      <c r="RK2" s="28"/>
      <c r="RL2" s="28"/>
      <c r="RM2" s="28"/>
      <c r="RN2" s="28"/>
      <c r="RO2" s="28"/>
      <c r="RP2" s="28"/>
      <c r="RQ2" s="28"/>
    </row>
    <row r="3" spans="1:485" s="56" customFormat="1" x14ac:dyDescent="0.25">
      <c r="A3" s="31" t="s">
        <v>7</v>
      </c>
      <c r="B3" s="57">
        <v>45162</v>
      </c>
      <c r="C3" s="58">
        <v>26</v>
      </c>
      <c r="D3" s="59">
        <v>1735.26</v>
      </c>
      <c r="E3" s="59">
        <v>1237.31</v>
      </c>
      <c r="F3" s="59">
        <v>7740.81</v>
      </c>
      <c r="G3" s="59">
        <v>1025.06</v>
      </c>
      <c r="H3" s="59">
        <v>829.91</v>
      </c>
      <c r="I3" s="59">
        <v>482.88</v>
      </c>
      <c r="J3" s="59">
        <v>0</v>
      </c>
      <c r="K3" s="59">
        <v>405.31</v>
      </c>
      <c r="L3" s="59">
        <v>1.1299999999999999</v>
      </c>
      <c r="M3" s="59">
        <v>301.79000000000002</v>
      </c>
      <c r="N3" s="59">
        <v>1116.6099999999999</v>
      </c>
      <c r="O3" s="59">
        <v>2221.12</v>
      </c>
      <c r="P3" s="59">
        <v>130</v>
      </c>
      <c r="Q3" s="59">
        <v>2421.96</v>
      </c>
      <c r="R3" s="59">
        <v>3479.8</v>
      </c>
      <c r="S3" s="60">
        <v>2129.9</v>
      </c>
      <c r="T3" s="61">
        <f t="shared" si="0"/>
        <v>25258.85</v>
      </c>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c r="IU3" s="28"/>
      <c r="IV3" s="28"/>
      <c r="IW3" s="28"/>
      <c r="IX3" s="28"/>
      <c r="IY3" s="28"/>
      <c r="IZ3" s="28"/>
      <c r="JA3" s="28"/>
      <c r="JB3" s="28"/>
      <c r="JC3" s="28"/>
      <c r="JD3" s="28"/>
      <c r="JE3" s="28"/>
      <c r="JF3" s="28"/>
      <c r="JG3" s="28"/>
      <c r="JH3" s="28"/>
      <c r="JI3" s="28"/>
      <c r="JJ3" s="28"/>
      <c r="JK3" s="28"/>
      <c r="JL3" s="28"/>
      <c r="JM3" s="28"/>
      <c r="JN3" s="28"/>
      <c r="JO3" s="28"/>
      <c r="JP3" s="28"/>
      <c r="JQ3" s="28"/>
      <c r="JR3" s="28"/>
      <c r="JS3" s="28"/>
      <c r="JT3" s="28"/>
      <c r="JU3" s="28"/>
      <c r="JV3" s="28"/>
      <c r="JW3" s="28"/>
      <c r="JX3" s="28"/>
      <c r="JY3" s="28"/>
      <c r="JZ3" s="28"/>
      <c r="KA3" s="28"/>
      <c r="KB3" s="28"/>
      <c r="KC3" s="28"/>
      <c r="KD3" s="28"/>
      <c r="KE3" s="28"/>
      <c r="KF3" s="28"/>
      <c r="KG3" s="28"/>
      <c r="KH3" s="28"/>
      <c r="KI3" s="28"/>
      <c r="KJ3" s="28"/>
      <c r="KK3" s="28"/>
      <c r="KL3" s="28"/>
      <c r="KM3" s="28"/>
      <c r="KN3" s="28"/>
      <c r="KO3" s="28"/>
      <c r="KP3" s="28"/>
      <c r="KQ3" s="28"/>
      <c r="KR3" s="28"/>
      <c r="KS3" s="28"/>
      <c r="KT3" s="28"/>
      <c r="KU3" s="28"/>
      <c r="KV3" s="28"/>
      <c r="KW3" s="28"/>
      <c r="KX3" s="28"/>
      <c r="KY3" s="28"/>
      <c r="KZ3" s="28"/>
      <c r="LA3" s="28"/>
      <c r="LB3" s="28"/>
      <c r="LC3" s="28"/>
      <c r="LD3" s="28"/>
      <c r="LE3" s="28"/>
      <c r="LF3" s="28"/>
      <c r="LG3" s="28"/>
      <c r="LH3" s="28"/>
      <c r="LI3" s="28"/>
      <c r="LJ3" s="28"/>
      <c r="LK3" s="28"/>
      <c r="LL3" s="28"/>
      <c r="LM3" s="28"/>
      <c r="LN3" s="28"/>
      <c r="LO3" s="28"/>
      <c r="LP3" s="28"/>
      <c r="LQ3" s="28"/>
      <c r="LR3" s="28"/>
      <c r="LS3" s="28"/>
      <c r="LT3" s="28"/>
      <c r="LU3" s="28"/>
      <c r="LV3" s="28"/>
      <c r="LW3" s="28"/>
      <c r="LX3" s="28"/>
      <c r="LY3" s="28"/>
      <c r="LZ3" s="28"/>
      <c r="MA3" s="28"/>
      <c r="MB3" s="28"/>
      <c r="MC3" s="28"/>
      <c r="MD3" s="28"/>
      <c r="ME3" s="28"/>
      <c r="MF3" s="28"/>
      <c r="MG3" s="28"/>
      <c r="MH3" s="28"/>
      <c r="MI3" s="28"/>
      <c r="MJ3" s="28"/>
      <c r="MK3" s="28"/>
      <c r="ML3" s="28"/>
      <c r="MM3" s="28"/>
      <c r="MN3" s="28"/>
      <c r="MO3" s="28"/>
      <c r="MP3" s="28"/>
      <c r="MQ3" s="28"/>
      <c r="MR3" s="28"/>
      <c r="MS3" s="28"/>
      <c r="MT3" s="28"/>
      <c r="MU3" s="28"/>
      <c r="MV3" s="28"/>
      <c r="MW3" s="28"/>
      <c r="MX3" s="28"/>
      <c r="MY3" s="28"/>
      <c r="MZ3" s="28"/>
      <c r="NA3" s="28"/>
      <c r="NB3" s="28"/>
      <c r="NC3" s="28"/>
      <c r="ND3" s="28"/>
      <c r="NE3" s="28"/>
      <c r="NF3" s="28"/>
      <c r="NG3" s="28"/>
      <c r="NH3" s="28"/>
      <c r="NI3" s="28"/>
      <c r="NJ3" s="28"/>
      <c r="NK3" s="28"/>
      <c r="NL3" s="28"/>
      <c r="NM3" s="28"/>
      <c r="NN3" s="28"/>
      <c r="NO3" s="28"/>
      <c r="NP3" s="28"/>
      <c r="NQ3" s="28"/>
      <c r="NR3" s="28"/>
      <c r="NS3" s="28"/>
      <c r="NT3" s="28"/>
      <c r="NU3" s="28"/>
      <c r="NV3" s="28"/>
      <c r="NW3" s="28"/>
      <c r="NX3" s="28"/>
      <c r="NY3" s="28"/>
      <c r="NZ3" s="28"/>
      <c r="OA3" s="28"/>
      <c r="OB3" s="28"/>
      <c r="OC3" s="28"/>
      <c r="OD3" s="28"/>
      <c r="OE3" s="28"/>
      <c r="OF3" s="28"/>
      <c r="OG3" s="28"/>
      <c r="OH3" s="28"/>
      <c r="OI3" s="28"/>
      <c r="OJ3" s="28"/>
      <c r="OK3" s="28"/>
      <c r="OL3" s="28"/>
      <c r="OM3" s="28"/>
      <c r="ON3" s="28"/>
      <c r="OO3" s="28"/>
      <c r="OP3" s="28"/>
      <c r="OQ3" s="28"/>
      <c r="OR3" s="28"/>
      <c r="OS3" s="28"/>
      <c r="OT3" s="28"/>
      <c r="OU3" s="28"/>
      <c r="OV3" s="28"/>
      <c r="OW3" s="28"/>
      <c r="OX3" s="28"/>
      <c r="OY3" s="28"/>
      <c r="OZ3" s="28"/>
      <c r="PA3" s="28"/>
      <c r="PB3" s="28"/>
      <c r="PC3" s="28"/>
      <c r="PD3" s="28"/>
      <c r="PE3" s="28"/>
      <c r="PF3" s="28"/>
      <c r="PG3" s="28"/>
      <c r="PH3" s="28"/>
      <c r="PI3" s="28"/>
      <c r="PJ3" s="28"/>
      <c r="PK3" s="28"/>
      <c r="PL3" s="28"/>
      <c r="PM3" s="28"/>
      <c r="PN3" s="28"/>
      <c r="PO3" s="28"/>
      <c r="PP3" s="28"/>
      <c r="PQ3" s="28"/>
      <c r="PR3" s="28"/>
      <c r="PS3" s="28"/>
      <c r="PT3" s="28"/>
      <c r="PU3" s="28"/>
      <c r="PV3" s="28"/>
      <c r="PW3" s="28"/>
      <c r="PX3" s="28"/>
      <c r="PY3" s="28"/>
      <c r="PZ3" s="28"/>
      <c r="QA3" s="28"/>
      <c r="QB3" s="28"/>
      <c r="QC3" s="28"/>
      <c r="QD3" s="28"/>
      <c r="QE3" s="28"/>
      <c r="QF3" s="28"/>
      <c r="QG3" s="28"/>
      <c r="QH3" s="28"/>
      <c r="QI3" s="28"/>
      <c r="QJ3" s="28"/>
      <c r="QK3" s="28"/>
      <c r="QL3" s="28"/>
      <c r="QM3" s="28"/>
      <c r="QN3" s="28"/>
      <c r="QO3" s="28"/>
      <c r="QP3" s="28"/>
      <c r="QQ3" s="28"/>
      <c r="QR3" s="28"/>
      <c r="QS3" s="28"/>
      <c r="QT3" s="28"/>
      <c r="QU3" s="28"/>
      <c r="QV3" s="28"/>
      <c r="QW3" s="28"/>
      <c r="QX3" s="28"/>
      <c r="QY3" s="28"/>
      <c r="QZ3" s="28"/>
      <c r="RA3" s="28"/>
      <c r="RB3" s="28"/>
      <c r="RC3" s="28"/>
      <c r="RD3" s="28"/>
      <c r="RE3" s="28"/>
      <c r="RF3" s="28"/>
      <c r="RG3" s="28"/>
      <c r="RH3" s="28"/>
      <c r="RI3" s="28"/>
      <c r="RJ3" s="28"/>
      <c r="RK3" s="28"/>
      <c r="RL3" s="28"/>
      <c r="RM3" s="28"/>
      <c r="RN3" s="28"/>
      <c r="RO3" s="28"/>
      <c r="RP3" s="28"/>
      <c r="RQ3" s="28"/>
    </row>
    <row r="4" spans="1:485" s="56" customFormat="1" x14ac:dyDescent="0.25">
      <c r="A4" s="31" t="s">
        <v>8</v>
      </c>
      <c r="B4" s="57">
        <v>45160</v>
      </c>
      <c r="C4" s="58">
        <v>75</v>
      </c>
      <c r="D4" s="59">
        <v>5735.38</v>
      </c>
      <c r="E4" s="59">
        <v>6130.23</v>
      </c>
      <c r="F4" s="59">
        <v>29633.95</v>
      </c>
      <c r="G4" s="59">
        <v>3455.73</v>
      </c>
      <c r="H4" s="59">
        <v>1459.59</v>
      </c>
      <c r="I4" s="59">
        <v>681.43</v>
      </c>
      <c r="J4" s="59">
        <v>0</v>
      </c>
      <c r="K4" s="59">
        <v>0</v>
      </c>
      <c r="L4" s="59">
        <v>0</v>
      </c>
      <c r="M4" s="59">
        <v>0</v>
      </c>
      <c r="N4" s="59">
        <v>0</v>
      </c>
      <c r="O4" s="59">
        <v>7743.68</v>
      </c>
      <c r="P4" s="59">
        <v>940</v>
      </c>
      <c r="Q4" s="59">
        <v>8144.54</v>
      </c>
      <c r="R4" s="59">
        <v>12400.59</v>
      </c>
      <c r="S4" s="60">
        <v>7188.52</v>
      </c>
      <c r="T4" s="61">
        <f t="shared" si="0"/>
        <v>83513.64</v>
      </c>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c r="IU4" s="28"/>
      <c r="IV4" s="28"/>
      <c r="IW4" s="28"/>
      <c r="IX4" s="28"/>
      <c r="IY4" s="28"/>
      <c r="IZ4" s="28"/>
      <c r="JA4" s="28"/>
      <c r="JB4" s="28"/>
      <c r="JC4" s="28"/>
      <c r="JD4" s="28"/>
      <c r="JE4" s="28"/>
      <c r="JF4" s="28"/>
      <c r="JG4" s="28"/>
      <c r="JH4" s="28"/>
      <c r="JI4" s="28"/>
      <c r="JJ4" s="28"/>
      <c r="JK4" s="28"/>
      <c r="JL4" s="28"/>
      <c r="JM4" s="28"/>
      <c r="JN4" s="28"/>
      <c r="JO4" s="28"/>
      <c r="JP4" s="28"/>
      <c r="JQ4" s="28"/>
      <c r="JR4" s="28"/>
      <c r="JS4" s="28"/>
      <c r="JT4" s="28"/>
      <c r="JU4" s="28"/>
      <c r="JV4" s="28"/>
      <c r="JW4" s="28"/>
      <c r="JX4" s="28"/>
      <c r="JY4" s="28"/>
      <c r="JZ4" s="28"/>
      <c r="KA4" s="28"/>
      <c r="KB4" s="28"/>
      <c r="KC4" s="28"/>
      <c r="KD4" s="28"/>
      <c r="KE4" s="28"/>
      <c r="KF4" s="28"/>
      <c r="KG4" s="28"/>
      <c r="KH4" s="28"/>
      <c r="KI4" s="28"/>
      <c r="KJ4" s="28"/>
      <c r="KK4" s="28"/>
      <c r="KL4" s="28"/>
      <c r="KM4" s="28"/>
      <c r="KN4" s="28"/>
      <c r="KO4" s="28"/>
      <c r="KP4" s="28"/>
      <c r="KQ4" s="28"/>
      <c r="KR4" s="28"/>
      <c r="KS4" s="28"/>
      <c r="KT4" s="28"/>
      <c r="KU4" s="28"/>
      <c r="KV4" s="28"/>
      <c r="KW4" s="28"/>
      <c r="KX4" s="28"/>
      <c r="KY4" s="28"/>
      <c r="KZ4" s="28"/>
      <c r="LA4" s="28"/>
      <c r="LB4" s="28"/>
      <c r="LC4" s="28"/>
      <c r="LD4" s="28"/>
      <c r="LE4" s="28"/>
      <c r="LF4" s="28"/>
      <c r="LG4" s="28"/>
      <c r="LH4" s="28"/>
      <c r="LI4" s="28"/>
      <c r="LJ4" s="28"/>
      <c r="LK4" s="28"/>
      <c r="LL4" s="28"/>
      <c r="LM4" s="28"/>
      <c r="LN4" s="28"/>
      <c r="LO4" s="28"/>
      <c r="LP4" s="28"/>
      <c r="LQ4" s="28"/>
      <c r="LR4" s="28"/>
      <c r="LS4" s="28"/>
      <c r="LT4" s="28"/>
      <c r="LU4" s="28"/>
      <c r="LV4" s="28"/>
      <c r="LW4" s="28"/>
      <c r="LX4" s="28"/>
      <c r="LY4" s="28"/>
      <c r="LZ4" s="28"/>
      <c r="MA4" s="28"/>
      <c r="MB4" s="28"/>
      <c r="MC4" s="28"/>
      <c r="MD4" s="28"/>
      <c r="ME4" s="28"/>
      <c r="MF4" s="28"/>
      <c r="MG4" s="28"/>
      <c r="MH4" s="28"/>
      <c r="MI4" s="28"/>
      <c r="MJ4" s="28"/>
      <c r="MK4" s="28"/>
      <c r="ML4" s="28"/>
      <c r="MM4" s="28"/>
      <c r="MN4" s="28"/>
      <c r="MO4" s="28"/>
      <c r="MP4" s="28"/>
      <c r="MQ4" s="28"/>
      <c r="MR4" s="28"/>
      <c r="MS4" s="28"/>
      <c r="MT4" s="28"/>
      <c r="MU4" s="28"/>
      <c r="MV4" s="28"/>
      <c r="MW4" s="28"/>
      <c r="MX4" s="28"/>
      <c r="MY4" s="28"/>
      <c r="MZ4" s="28"/>
      <c r="NA4" s="28"/>
      <c r="NB4" s="28"/>
      <c r="NC4" s="28"/>
      <c r="ND4" s="28"/>
      <c r="NE4" s="28"/>
      <c r="NF4" s="28"/>
      <c r="NG4" s="28"/>
      <c r="NH4" s="28"/>
      <c r="NI4" s="28"/>
      <c r="NJ4" s="28"/>
      <c r="NK4" s="28"/>
      <c r="NL4" s="28"/>
      <c r="NM4" s="28"/>
      <c r="NN4" s="28"/>
      <c r="NO4" s="28"/>
      <c r="NP4" s="28"/>
      <c r="NQ4" s="28"/>
      <c r="NR4" s="28"/>
      <c r="NS4" s="28"/>
      <c r="NT4" s="28"/>
      <c r="NU4" s="28"/>
      <c r="NV4" s="28"/>
      <c r="NW4" s="28"/>
      <c r="NX4" s="28"/>
      <c r="NY4" s="28"/>
      <c r="NZ4" s="28"/>
      <c r="OA4" s="28"/>
      <c r="OB4" s="28"/>
      <c r="OC4" s="28"/>
      <c r="OD4" s="28"/>
      <c r="OE4" s="28"/>
      <c r="OF4" s="28"/>
      <c r="OG4" s="28"/>
      <c r="OH4" s="28"/>
      <c r="OI4" s="28"/>
      <c r="OJ4" s="28"/>
      <c r="OK4" s="28"/>
      <c r="OL4" s="28"/>
      <c r="OM4" s="28"/>
      <c r="ON4" s="28"/>
      <c r="OO4" s="28"/>
      <c r="OP4" s="28"/>
      <c r="OQ4" s="28"/>
      <c r="OR4" s="28"/>
      <c r="OS4" s="28"/>
      <c r="OT4" s="28"/>
      <c r="OU4" s="28"/>
      <c r="OV4" s="28"/>
      <c r="OW4" s="28"/>
      <c r="OX4" s="28"/>
      <c r="OY4" s="28"/>
      <c r="OZ4" s="28"/>
      <c r="PA4" s="28"/>
      <c r="PB4" s="28"/>
      <c r="PC4" s="28"/>
      <c r="PD4" s="28"/>
      <c r="PE4" s="28"/>
      <c r="PF4" s="28"/>
      <c r="PG4" s="28"/>
      <c r="PH4" s="28"/>
      <c r="PI4" s="28"/>
      <c r="PJ4" s="28"/>
      <c r="PK4" s="28"/>
      <c r="PL4" s="28"/>
      <c r="PM4" s="28"/>
      <c r="PN4" s="28"/>
      <c r="PO4" s="28"/>
      <c r="PP4" s="28"/>
      <c r="PQ4" s="28"/>
      <c r="PR4" s="28"/>
      <c r="PS4" s="28"/>
      <c r="PT4" s="28"/>
      <c r="PU4" s="28"/>
      <c r="PV4" s="28"/>
      <c r="PW4" s="28"/>
      <c r="PX4" s="28"/>
      <c r="PY4" s="28"/>
      <c r="PZ4" s="28"/>
      <c r="QA4" s="28"/>
      <c r="QB4" s="28"/>
      <c r="QC4" s="28"/>
      <c r="QD4" s="28"/>
      <c r="QE4" s="28"/>
      <c r="QF4" s="28"/>
      <c r="QG4" s="28"/>
      <c r="QH4" s="28"/>
      <c r="QI4" s="28"/>
      <c r="QJ4" s="28"/>
      <c r="QK4" s="28"/>
      <c r="QL4" s="28"/>
      <c r="QM4" s="28"/>
      <c r="QN4" s="28"/>
      <c r="QO4" s="28"/>
      <c r="QP4" s="28"/>
      <c r="QQ4" s="28"/>
      <c r="QR4" s="28"/>
      <c r="QS4" s="28"/>
      <c r="QT4" s="28"/>
      <c r="QU4" s="28"/>
      <c r="QV4" s="28"/>
      <c r="QW4" s="28"/>
      <c r="QX4" s="28"/>
      <c r="QY4" s="28"/>
      <c r="QZ4" s="28"/>
      <c r="RA4" s="28"/>
      <c r="RB4" s="28"/>
      <c r="RC4" s="28"/>
      <c r="RD4" s="28"/>
      <c r="RE4" s="28"/>
      <c r="RF4" s="28"/>
      <c r="RG4" s="28"/>
      <c r="RH4" s="28"/>
      <c r="RI4" s="28"/>
      <c r="RJ4" s="28"/>
      <c r="RK4" s="28"/>
      <c r="RL4" s="28"/>
      <c r="RM4" s="28"/>
      <c r="RN4" s="28"/>
      <c r="RO4" s="28"/>
      <c r="RP4" s="28"/>
      <c r="RQ4" s="28"/>
    </row>
    <row r="5" spans="1:485" s="56" customFormat="1" x14ac:dyDescent="0.25">
      <c r="A5" s="31" t="s">
        <v>9</v>
      </c>
      <c r="B5" s="57">
        <v>45167</v>
      </c>
      <c r="C5" s="58">
        <v>9</v>
      </c>
      <c r="D5" s="59">
        <v>596.59</v>
      </c>
      <c r="E5" s="59">
        <v>1141.32</v>
      </c>
      <c r="F5" s="59">
        <v>2874.06</v>
      </c>
      <c r="G5" s="59">
        <v>0</v>
      </c>
      <c r="H5" s="59">
        <v>155.63999999999999</v>
      </c>
      <c r="I5" s="59">
        <v>160.82</v>
      </c>
      <c r="J5" s="59">
        <v>0</v>
      </c>
      <c r="K5" s="59">
        <v>0</v>
      </c>
      <c r="L5" s="59">
        <v>58.13</v>
      </c>
      <c r="M5" s="59">
        <v>83.01</v>
      </c>
      <c r="N5" s="59">
        <v>363.15</v>
      </c>
      <c r="O5" s="59">
        <v>713.92</v>
      </c>
      <c r="P5" s="59">
        <v>0</v>
      </c>
      <c r="Q5" s="59"/>
      <c r="R5" s="59">
        <v>1086.54</v>
      </c>
      <c r="S5" s="60">
        <v>633.27</v>
      </c>
      <c r="T5" s="61">
        <f t="shared" si="0"/>
        <v>7866.4499999999989</v>
      </c>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c r="IU5" s="28"/>
      <c r="IV5" s="28"/>
      <c r="IW5" s="28"/>
      <c r="IX5" s="28"/>
      <c r="IY5" s="28"/>
      <c r="IZ5" s="28"/>
      <c r="JA5" s="28"/>
      <c r="JB5" s="28"/>
      <c r="JC5" s="28"/>
      <c r="JD5" s="28"/>
      <c r="JE5" s="28"/>
      <c r="JF5" s="28"/>
      <c r="JG5" s="28"/>
      <c r="JH5" s="28"/>
      <c r="JI5" s="28"/>
      <c r="JJ5" s="28"/>
      <c r="JK5" s="28"/>
      <c r="JL5" s="28"/>
      <c r="JM5" s="28"/>
      <c r="JN5" s="28"/>
      <c r="JO5" s="28"/>
      <c r="JP5" s="28"/>
      <c r="JQ5" s="28"/>
      <c r="JR5" s="28"/>
      <c r="JS5" s="28"/>
      <c r="JT5" s="28"/>
      <c r="JU5" s="28"/>
      <c r="JV5" s="28"/>
      <c r="JW5" s="28"/>
      <c r="JX5" s="28"/>
      <c r="JY5" s="28"/>
      <c r="JZ5" s="28"/>
      <c r="KA5" s="28"/>
      <c r="KB5" s="28"/>
      <c r="KC5" s="28"/>
      <c r="KD5" s="28"/>
      <c r="KE5" s="28"/>
      <c r="KF5" s="28"/>
      <c r="KG5" s="28"/>
      <c r="KH5" s="28"/>
      <c r="KI5" s="28"/>
      <c r="KJ5" s="28"/>
      <c r="KK5" s="28"/>
      <c r="KL5" s="28"/>
      <c r="KM5" s="28"/>
      <c r="KN5" s="28"/>
      <c r="KO5" s="28"/>
      <c r="KP5" s="28"/>
      <c r="KQ5" s="28"/>
      <c r="KR5" s="28"/>
      <c r="KS5" s="28"/>
      <c r="KT5" s="28"/>
      <c r="KU5" s="28"/>
      <c r="KV5" s="28"/>
      <c r="KW5" s="28"/>
      <c r="KX5" s="28"/>
      <c r="KY5" s="28"/>
      <c r="KZ5" s="28"/>
      <c r="LA5" s="28"/>
      <c r="LB5" s="28"/>
      <c r="LC5" s="28"/>
      <c r="LD5" s="28"/>
      <c r="LE5" s="28"/>
      <c r="LF5" s="28"/>
      <c r="LG5" s="28"/>
      <c r="LH5" s="28"/>
      <c r="LI5" s="28"/>
      <c r="LJ5" s="28"/>
      <c r="LK5" s="28"/>
      <c r="LL5" s="28"/>
      <c r="LM5" s="28"/>
      <c r="LN5" s="28"/>
      <c r="LO5" s="28"/>
      <c r="LP5" s="28"/>
      <c r="LQ5" s="28"/>
      <c r="LR5" s="28"/>
      <c r="LS5" s="28"/>
      <c r="LT5" s="28"/>
      <c r="LU5" s="28"/>
      <c r="LV5" s="28"/>
      <c r="LW5" s="28"/>
      <c r="LX5" s="28"/>
      <c r="LY5" s="28"/>
      <c r="LZ5" s="28"/>
      <c r="MA5" s="28"/>
      <c r="MB5" s="28"/>
      <c r="MC5" s="28"/>
      <c r="MD5" s="28"/>
      <c r="ME5" s="28"/>
      <c r="MF5" s="28"/>
      <c r="MG5" s="28"/>
      <c r="MH5" s="28"/>
      <c r="MI5" s="28"/>
      <c r="MJ5" s="28"/>
      <c r="MK5" s="28"/>
      <c r="ML5" s="28"/>
      <c r="MM5" s="28"/>
      <c r="MN5" s="28"/>
      <c r="MO5" s="28"/>
      <c r="MP5" s="28"/>
      <c r="MQ5" s="28"/>
      <c r="MR5" s="28"/>
      <c r="MS5" s="28"/>
      <c r="MT5" s="28"/>
      <c r="MU5" s="28"/>
      <c r="MV5" s="28"/>
      <c r="MW5" s="28"/>
      <c r="MX5" s="28"/>
      <c r="MY5" s="28"/>
      <c r="MZ5" s="28"/>
      <c r="NA5" s="28"/>
      <c r="NB5" s="28"/>
      <c r="NC5" s="28"/>
      <c r="ND5" s="28"/>
      <c r="NE5" s="28"/>
      <c r="NF5" s="28"/>
      <c r="NG5" s="28"/>
      <c r="NH5" s="28"/>
      <c r="NI5" s="28"/>
      <c r="NJ5" s="28"/>
      <c r="NK5" s="28"/>
      <c r="NL5" s="28"/>
      <c r="NM5" s="28"/>
      <c r="NN5" s="28"/>
      <c r="NO5" s="28"/>
      <c r="NP5" s="28"/>
      <c r="NQ5" s="28"/>
      <c r="NR5" s="28"/>
      <c r="NS5" s="28"/>
      <c r="NT5" s="28"/>
      <c r="NU5" s="28"/>
      <c r="NV5" s="28"/>
      <c r="NW5" s="28"/>
      <c r="NX5" s="28"/>
      <c r="NY5" s="28"/>
      <c r="NZ5" s="28"/>
      <c r="OA5" s="28"/>
      <c r="OB5" s="28"/>
      <c r="OC5" s="28"/>
      <c r="OD5" s="28"/>
      <c r="OE5" s="28"/>
      <c r="OF5" s="28"/>
      <c r="OG5" s="28"/>
      <c r="OH5" s="28"/>
      <c r="OI5" s="28"/>
      <c r="OJ5" s="28"/>
      <c r="OK5" s="28"/>
      <c r="OL5" s="28"/>
      <c r="OM5" s="28"/>
      <c r="ON5" s="28"/>
      <c r="OO5" s="28"/>
      <c r="OP5" s="28"/>
      <c r="OQ5" s="28"/>
      <c r="OR5" s="28"/>
      <c r="OS5" s="28"/>
      <c r="OT5" s="28"/>
      <c r="OU5" s="28"/>
      <c r="OV5" s="28"/>
      <c r="OW5" s="28"/>
      <c r="OX5" s="28"/>
      <c r="OY5" s="28"/>
      <c r="OZ5" s="28"/>
      <c r="PA5" s="28"/>
      <c r="PB5" s="28"/>
      <c r="PC5" s="28"/>
      <c r="PD5" s="28"/>
      <c r="PE5" s="28"/>
      <c r="PF5" s="28"/>
      <c r="PG5" s="28"/>
      <c r="PH5" s="28"/>
      <c r="PI5" s="28"/>
      <c r="PJ5" s="28"/>
      <c r="PK5" s="28"/>
      <c r="PL5" s="28"/>
      <c r="PM5" s="28"/>
      <c r="PN5" s="28"/>
      <c r="PO5" s="28"/>
      <c r="PP5" s="28"/>
      <c r="PQ5" s="28"/>
      <c r="PR5" s="28"/>
      <c r="PS5" s="28"/>
      <c r="PT5" s="28"/>
      <c r="PU5" s="28"/>
      <c r="PV5" s="28"/>
      <c r="PW5" s="28"/>
      <c r="PX5" s="28"/>
      <c r="PY5" s="28"/>
      <c r="PZ5" s="28"/>
      <c r="QA5" s="28"/>
      <c r="QB5" s="28"/>
      <c r="QC5" s="28"/>
      <c r="QD5" s="28"/>
      <c r="QE5" s="28"/>
      <c r="QF5" s="28"/>
      <c r="QG5" s="28"/>
      <c r="QH5" s="28"/>
      <c r="QI5" s="28"/>
      <c r="QJ5" s="28"/>
      <c r="QK5" s="28"/>
      <c r="QL5" s="28"/>
      <c r="QM5" s="28"/>
      <c r="QN5" s="28"/>
      <c r="QO5" s="28"/>
      <c r="QP5" s="28"/>
      <c r="QQ5" s="28"/>
      <c r="QR5" s="28"/>
      <c r="QS5" s="28"/>
      <c r="QT5" s="28"/>
      <c r="QU5" s="28"/>
      <c r="QV5" s="28"/>
      <c r="QW5" s="28"/>
      <c r="QX5" s="28"/>
      <c r="QY5" s="28"/>
      <c r="QZ5" s="28"/>
      <c r="RA5" s="28"/>
      <c r="RB5" s="28"/>
      <c r="RC5" s="28"/>
      <c r="RD5" s="28"/>
      <c r="RE5" s="28"/>
      <c r="RF5" s="28"/>
      <c r="RG5" s="28"/>
      <c r="RH5" s="28"/>
      <c r="RI5" s="28"/>
      <c r="RJ5" s="28"/>
      <c r="RK5" s="28"/>
      <c r="RL5" s="28"/>
      <c r="RM5" s="28"/>
      <c r="RN5" s="28"/>
      <c r="RO5" s="28"/>
      <c r="RP5" s="28"/>
      <c r="RQ5" s="28"/>
    </row>
    <row r="6" spans="1:485" s="56" customFormat="1" x14ac:dyDescent="0.25">
      <c r="A6" s="31" t="s">
        <v>10</v>
      </c>
      <c r="B6" s="57" t="s">
        <v>321</v>
      </c>
      <c r="C6" s="58">
        <v>59</v>
      </c>
      <c r="D6" s="59">
        <v>5645.1</v>
      </c>
      <c r="E6" s="59">
        <v>6823.23</v>
      </c>
      <c r="F6" s="59">
        <v>36099.32</v>
      </c>
      <c r="G6" s="59">
        <v>1423.58</v>
      </c>
      <c r="H6" s="59">
        <v>0</v>
      </c>
      <c r="I6" s="59">
        <v>785.41</v>
      </c>
      <c r="J6" s="59">
        <v>0</v>
      </c>
      <c r="K6" s="59">
        <v>1750</v>
      </c>
      <c r="L6" s="59">
        <v>1415.82</v>
      </c>
      <c r="M6" s="59">
        <v>0</v>
      </c>
      <c r="N6" s="59">
        <v>1178.1099999999999</v>
      </c>
      <c r="O6" s="59">
        <v>7959.51</v>
      </c>
      <c r="P6" s="59">
        <v>649</v>
      </c>
      <c r="Q6" s="59">
        <v>9627.59</v>
      </c>
      <c r="R6" s="59">
        <v>13067.62</v>
      </c>
      <c r="S6" s="60">
        <v>7359.83</v>
      </c>
      <c r="T6" s="61">
        <f t="shared" si="0"/>
        <v>93784.12000000001</v>
      </c>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c r="IU6" s="28"/>
      <c r="IV6" s="28"/>
      <c r="IW6" s="28"/>
      <c r="IX6" s="28"/>
      <c r="IY6" s="28"/>
      <c r="IZ6" s="28"/>
      <c r="JA6" s="28"/>
      <c r="JB6" s="28"/>
      <c r="JC6" s="28"/>
      <c r="JD6" s="28"/>
      <c r="JE6" s="28"/>
      <c r="JF6" s="28"/>
      <c r="JG6" s="28"/>
      <c r="JH6" s="28"/>
      <c r="JI6" s="28"/>
      <c r="JJ6" s="28"/>
      <c r="JK6" s="28"/>
      <c r="JL6" s="28"/>
      <c r="JM6" s="28"/>
      <c r="JN6" s="28"/>
      <c r="JO6" s="28"/>
      <c r="JP6" s="28"/>
      <c r="JQ6" s="28"/>
      <c r="JR6" s="28"/>
      <c r="JS6" s="28"/>
      <c r="JT6" s="28"/>
      <c r="JU6" s="28"/>
      <c r="JV6" s="28"/>
      <c r="JW6" s="28"/>
      <c r="JX6" s="28"/>
      <c r="JY6" s="28"/>
      <c r="JZ6" s="28"/>
      <c r="KA6" s="28"/>
      <c r="KB6" s="28"/>
      <c r="KC6" s="28"/>
      <c r="KD6" s="28"/>
      <c r="KE6" s="28"/>
      <c r="KF6" s="28"/>
      <c r="KG6" s="28"/>
      <c r="KH6" s="28"/>
      <c r="KI6" s="28"/>
      <c r="KJ6" s="28"/>
      <c r="KK6" s="28"/>
      <c r="KL6" s="28"/>
      <c r="KM6" s="28"/>
      <c r="KN6" s="28"/>
      <c r="KO6" s="28"/>
      <c r="KP6" s="28"/>
      <c r="KQ6" s="28"/>
      <c r="KR6" s="28"/>
      <c r="KS6" s="28"/>
      <c r="KT6" s="28"/>
      <c r="KU6" s="28"/>
      <c r="KV6" s="28"/>
      <c r="KW6" s="28"/>
      <c r="KX6" s="28"/>
      <c r="KY6" s="28"/>
      <c r="KZ6" s="28"/>
      <c r="LA6" s="28"/>
      <c r="LB6" s="28"/>
      <c r="LC6" s="28"/>
      <c r="LD6" s="28"/>
      <c r="LE6" s="28"/>
      <c r="LF6" s="28"/>
      <c r="LG6" s="28"/>
      <c r="LH6" s="28"/>
      <c r="LI6" s="28"/>
      <c r="LJ6" s="28"/>
      <c r="LK6" s="28"/>
      <c r="LL6" s="28"/>
      <c r="LM6" s="28"/>
      <c r="LN6" s="28"/>
      <c r="LO6" s="28"/>
      <c r="LP6" s="28"/>
      <c r="LQ6" s="28"/>
      <c r="LR6" s="28"/>
      <c r="LS6" s="28"/>
      <c r="LT6" s="28"/>
      <c r="LU6" s="28"/>
      <c r="LV6" s="28"/>
      <c r="LW6" s="28"/>
      <c r="LX6" s="28"/>
      <c r="LY6" s="28"/>
      <c r="LZ6" s="28"/>
      <c r="MA6" s="28"/>
      <c r="MB6" s="28"/>
      <c r="MC6" s="28"/>
      <c r="MD6" s="28"/>
      <c r="ME6" s="28"/>
      <c r="MF6" s="28"/>
      <c r="MG6" s="28"/>
      <c r="MH6" s="28"/>
      <c r="MI6" s="28"/>
      <c r="MJ6" s="28"/>
      <c r="MK6" s="28"/>
      <c r="ML6" s="28"/>
      <c r="MM6" s="28"/>
      <c r="MN6" s="28"/>
      <c r="MO6" s="28"/>
      <c r="MP6" s="28"/>
      <c r="MQ6" s="28"/>
      <c r="MR6" s="28"/>
      <c r="MS6" s="28"/>
      <c r="MT6" s="28"/>
      <c r="MU6" s="28"/>
      <c r="MV6" s="28"/>
      <c r="MW6" s="28"/>
      <c r="MX6" s="28"/>
      <c r="MY6" s="28"/>
      <c r="MZ6" s="28"/>
      <c r="NA6" s="28"/>
      <c r="NB6" s="28"/>
      <c r="NC6" s="28"/>
      <c r="ND6" s="28"/>
      <c r="NE6" s="28"/>
      <c r="NF6" s="28"/>
      <c r="NG6" s="28"/>
      <c r="NH6" s="28"/>
      <c r="NI6" s="28"/>
      <c r="NJ6" s="28"/>
      <c r="NK6" s="28"/>
      <c r="NL6" s="28"/>
      <c r="NM6" s="28"/>
      <c r="NN6" s="28"/>
      <c r="NO6" s="28"/>
      <c r="NP6" s="28"/>
      <c r="NQ6" s="28"/>
      <c r="NR6" s="28"/>
      <c r="NS6" s="28"/>
      <c r="NT6" s="28"/>
      <c r="NU6" s="28"/>
      <c r="NV6" s="28"/>
      <c r="NW6" s="28"/>
      <c r="NX6" s="28"/>
      <c r="NY6" s="28"/>
      <c r="NZ6" s="28"/>
      <c r="OA6" s="28"/>
      <c r="OB6" s="28"/>
      <c r="OC6" s="28"/>
      <c r="OD6" s="28"/>
      <c r="OE6" s="28"/>
      <c r="OF6" s="28"/>
      <c r="OG6" s="28"/>
      <c r="OH6" s="28"/>
      <c r="OI6" s="28"/>
      <c r="OJ6" s="28"/>
      <c r="OK6" s="28"/>
      <c r="OL6" s="28"/>
      <c r="OM6" s="28"/>
      <c r="ON6" s="28"/>
      <c r="OO6" s="28"/>
      <c r="OP6" s="28"/>
      <c r="OQ6" s="28"/>
      <c r="OR6" s="28"/>
      <c r="OS6" s="28"/>
      <c r="OT6" s="28"/>
      <c r="OU6" s="28"/>
      <c r="OV6" s="28"/>
      <c r="OW6" s="28"/>
      <c r="OX6" s="28"/>
      <c r="OY6" s="28"/>
      <c r="OZ6" s="28"/>
      <c r="PA6" s="28"/>
      <c r="PB6" s="28"/>
      <c r="PC6" s="28"/>
      <c r="PD6" s="28"/>
      <c r="PE6" s="28"/>
      <c r="PF6" s="28"/>
      <c r="PG6" s="28"/>
      <c r="PH6" s="28"/>
      <c r="PI6" s="28"/>
      <c r="PJ6" s="28"/>
      <c r="PK6" s="28"/>
      <c r="PL6" s="28"/>
      <c r="PM6" s="28"/>
      <c r="PN6" s="28"/>
      <c r="PO6" s="28"/>
      <c r="PP6" s="28"/>
      <c r="PQ6" s="28"/>
      <c r="PR6" s="28"/>
      <c r="PS6" s="28"/>
      <c r="PT6" s="28"/>
      <c r="PU6" s="28"/>
      <c r="PV6" s="28"/>
      <c r="PW6" s="28"/>
      <c r="PX6" s="28"/>
      <c r="PY6" s="28"/>
      <c r="PZ6" s="28"/>
      <c r="QA6" s="28"/>
      <c r="QB6" s="28"/>
      <c r="QC6" s="28"/>
      <c r="QD6" s="28"/>
      <c r="QE6" s="28"/>
      <c r="QF6" s="28"/>
      <c r="QG6" s="28"/>
      <c r="QH6" s="28"/>
      <c r="QI6" s="28"/>
      <c r="QJ6" s="28"/>
      <c r="QK6" s="28"/>
      <c r="QL6" s="28"/>
      <c r="QM6" s="28"/>
      <c r="QN6" s="28"/>
      <c r="QO6" s="28"/>
      <c r="QP6" s="28"/>
      <c r="QQ6" s="28"/>
      <c r="QR6" s="28"/>
      <c r="QS6" s="28"/>
      <c r="QT6" s="28"/>
      <c r="QU6" s="28"/>
      <c r="QV6" s="28"/>
      <c r="QW6" s="28"/>
      <c r="QX6" s="28"/>
      <c r="QY6" s="28"/>
      <c r="QZ6" s="28"/>
      <c r="RA6" s="28"/>
      <c r="RB6" s="28"/>
      <c r="RC6" s="28"/>
      <c r="RD6" s="28"/>
      <c r="RE6" s="28"/>
      <c r="RF6" s="28"/>
      <c r="RG6" s="28"/>
      <c r="RH6" s="28"/>
      <c r="RI6" s="28"/>
      <c r="RJ6" s="28"/>
      <c r="RK6" s="28"/>
      <c r="RL6" s="28"/>
      <c r="RM6" s="28"/>
      <c r="RN6" s="28"/>
      <c r="RO6" s="28"/>
      <c r="RP6" s="28"/>
      <c r="RQ6" s="28"/>
    </row>
    <row r="7" spans="1:485" s="56" customFormat="1" x14ac:dyDescent="0.25">
      <c r="A7" s="31" t="s">
        <v>11</v>
      </c>
      <c r="B7" s="57">
        <v>45159</v>
      </c>
      <c r="C7" s="58">
        <v>36</v>
      </c>
      <c r="D7" s="120">
        <v>1701.69</v>
      </c>
      <c r="E7" s="59">
        <v>1544.5</v>
      </c>
      <c r="F7" s="119">
        <v>8629.9</v>
      </c>
      <c r="G7" s="59">
        <v>1532.85</v>
      </c>
      <c r="H7" s="59">
        <v>1143.3599999999999</v>
      </c>
      <c r="I7" s="59">
        <v>920.52</v>
      </c>
      <c r="J7" s="59"/>
      <c r="K7" s="59">
        <v>994.2</v>
      </c>
      <c r="L7" s="59">
        <v>357.4</v>
      </c>
      <c r="M7" s="59">
        <v>341.52</v>
      </c>
      <c r="N7" s="59">
        <v>2123.04</v>
      </c>
      <c r="O7" s="59">
        <v>2098.31</v>
      </c>
      <c r="P7" s="59">
        <v>36</v>
      </c>
      <c r="Q7" s="59">
        <v>2711.29</v>
      </c>
      <c r="R7" s="59">
        <v>4085.18</v>
      </c>
      <c r="S7" s="60">
        <v>2487.96</v>
      </c>
      <c r="T7" s="61">
        <f t="shared" si="0"/>
        <v>30707.720000000005</v>
      </c>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c r="IU7" s="28"/>
      <c r="IV7" s="28"/>
      <c r="IW7" s="28"/>
      <c r="IX7" s="28"/>
      <c r="IY7" s="28"/>
      <c r="IZ7" s="28"/>
      <c r="JA7" s="28"/>
      <c r="JB7" s="28"/>
      <c r="JC7" s="28"/>
      <c r="JD7" s="28"/>
      <c r="JE7" s="28"/>
      <c r="JF7" s="28"/>
      <c r="JG7" s="28"/>
      <c r="JH7" s="28"/>
      <c r="JI7" s="28"/>
      <c r="JJ7" s="28"/>
      <c r="JK7" s="28"/>
      <c r="JL7" s="28"/>
      <c r="JM7" s="28"/>
      <c r="JN7" s="28"/>
      <c r="JO7" s="28"/>
      <c r="JP7" s="28"/>
      <c r="JQ7" s="28"/>
      <c r="JR7" s="28"/>
      <c r="JS7" s="28"/>
      <c r="JT7" s="28"/>
      <c r="JU7" s="28"/>
      <c r="JV7" s="28"/>
      <c r="JW7" s="28"/>
      <c r="JX7" s="28"/>
      <c r="JY7" s="28"/>
      <c r="JZ7" s="28"/>
      <c r="KA7" s="28"/>
      <c r="KB7" s="28"/>
      <c r="KC7" s="28"/>
      <c r="KD7" s="28"/>
      <c r="KE7" s="28"/>
      <c r="KF7" s="28"/>
      <c r="KG7" s="28"/>
      <c r="KH7" s="28"/>
      <c r="KI7" s="28"/>
      <c r="KJ7" s="28"/>
      <c r="KK7" s="28"/>
      <c r="KL7" s="28"/>
      <c r="KM7" s="28"/>
      <c r="KN7" s="28"/>
      <c r="KO7" s="28"/>
      <c r="KP7" s="28"/>
      <c r="KQ7" s="28"/>
      <c r="KR7" s="28"/>
      <c r="KS7" s="28"/>
      <c r="KT7" s="28"/>
      <c r="KU7" s="28"/>
      <c r="KV7" s="28"/>
      <c r="KW7" s="28"/>
      <c r="KX7" s="28"/>
      <c r="KY7" s="28"/>
      <c r="KZ7" s="28"/>
      <c r="LA7" s="28"/>
      <c r="LB7" s="28"/>
      <c r="LC7" s="28"/>
      <c r="LD7" s="28"/>
      <c r="LE7" s="28"/>
      <c r="LF7" s="28"/>
      <c r="LG7" s="28"/>
      <c r="LH7" s="28"/>
      <c r="LI7" s="28"/>
      <c r="LJ7" s="28"/>
      <c r="LK7" s="28"/>
      <c r="LL7" s="28"/>
      <c r="LM7" s="28"/>
      <c r="LN7" s="28"/>
      <c r="LO7" s="28"/>
      <c r="LP7" s="28"/>
      <c r="LQ7" s="28"/>
      <c r="LR7" s="28"/>
      <c r="LS7" s="28"/>
      <c r="LT7" s="28"/>
      <c r="LU7" s="28"/>
      <c r="LV7" s="28"/>
      <c r="LW7" s="28"/>
      <c r="LX7" s="28"/>
      <c r="LY7" s="28"/>
      <c r="LZ7" s="28"/>
      <c r="MA7" s="28"/>
      <c r="MB7" s="28"/>
      <c r="MC7" s="28"/>
      <c r="MD7" s="28"/>
      <c r="ME7" s="28"/>
      <c r="MF7" s="28"/>
      <c r="MG7" s="28"/>
      <c r="MH7" s="28"/>
      <c r="MI7" s="28"/>
      <c r="MJ7" s="28"/>
      <c r="MK7" s="28"/>
      <c r="ML7" s="28"/>
      <c r="MM7" s="28"/>
      <c r="MN7" s="28"/>
      <c r="MO7" s="28"/>
      <c r="MP7" s="28"/>
      <c r="MQ7" s="28"/>
      <c r="MR7" s="28"/>
      <c r="MS7" s="28"/>
      <c r="MT7" s="28"/>
      <c r="MU7" s="28"/>
      <c r="MV7" s="28"/>
      <c r="MW7" s="28"/>
      <c r="MX7" s="28"/>
      <c r="MY7" s="28"/>
      <c r="MZ7" s="28"/>
      <c r="NA7" s="28"/>
      <c r="NB7" s="28"/>
      <c r="NC7" s="28"/>
      <c r="ND7" s="28"/>
      <c r="NE7" s="28"/>
      <c r="NF7" s="28"/>
      <c r="NG7" s="28"/>
      <c r="NH7" s="28"/>
      <c r="NI7" s="28"/>
      <c r="NJ7" s="28"/>
      <c r="NK7" s="28"/>
      <c r="NL7" s="28"/>
      <c r="NM7" s="28"/>
      <c r="NN7" s="28"/>
      <c r="NO7" s="28"/>
      <c r="NP7" s="28"/>
      <c r="NQ7" s="28"/>
      <c r="NR7" s="28"/>
      <c r="NS7" s="28"/>
      <c r="NT7" s="28"/>
      <c r="NU7" s="28"/>
      <c r="NV7" s="28"/>
      <c r="NW7" s="28"/>
      <c r="NX7" s="28"/>
      <c r="NY7" s="28"/>
      <c r="NZ7" s="28"/>
      <c r="OA7" s="28"/>
      <c r="OB7" s="28"/>
      <c r="OC7" s="28"/>
      <c r="OD7" s="28"/>
      <c r="OE7" s="28"/>
      <c r="OF7" s="28"/>
      <c r="OG7" s="28"/>
      <c r="OH7" s="28"/>
      <c r="OI7" s="28"/>
      <c r="OJ7" s="28"/>
      <c r="OK7" s="28"/>
      <c r="OL7" s="28"/>
      <c r="OM7" s="28"/>
      <c r="ON7" s="28"/>
      <c r="OO7" s="28"/>
      <c r="OP7" s="28"/>
      <c r="OQ7" s="28"/>
      <c r="OR7" s="28"/>
      <c r="OS7" s="28"/>
      <c r="OT7" s="28"/>
      <c r="OU7" s="28"/>
      <c r="OV7" s="28"/>
      <c r="OW7" s="28"/>
      <c r="OX7" s="28"/>
      <c r="OY7" s="28"/>
      <c r="OZ7" s="28"/>
      <c r="PA7" s="28"/>
      <c r="PB7" s="28"/>
      <c r="PC7" s="28"/>
      <c r="PD7" s="28"/>
      <c r="PE7" s="28"/>
      <c r="PF7" s="28"/>
      <c r="PG7" s="28"/>
      <c r="PH7" s="28"/>
      <c r="PI7" s="28"/>
      <c r="PJ7" s="28"/>
      <c r="PK7" s="28"/>
      <c r="PL7" s="28"/>
      <c r="PM7" s="28"/>
      <c r="PN7" s="28"/>
      <c r="PO7" s="28"/>
      <c r="PP7" s="28"/>
      <c r="PQ7" s="28"/>
      <c r="PR7" s="28"/>
      <c r="PS7" s="28"/>
      <c r="PT7" s="28"/>
      <c r="PU7" s="28"/>
      <c r="PV7" s="28"/>
      <c r="PW7" s="28"/>
      <c r="PX7" s="28"/>
      <c r="PY7" s="28"/>
      <c r="PZ7" s="28"/>
      <c r="QA7" s="28"/>
      <c r="QB7" s="28"/>
      <c r="QC7" s="28"/>
      <c r="QD7" s="28"/>
      <c r="QE7" s="28"/>
      <c r="QF7" s="28"/>
      <c r="QG7" s="28"/>
      <c r="QH7" s="28"/>
      <c r="QI7" s="28"/>
      <c r="QJ7" s="28"/>
      <c r="QK7" s="28"/>
      <c r="QL7" s="28"/>
      <c r="QM7" s="28"/>
      <c r="QN7" s="28"/>
      <c r="QO7" s="28"/>
      <c r="QP7" s="28"/>
      <c r="QQ7" s="28"/>
      <c r="QR7" s="28"/>
      <c r="QS7" s="28"/>
      <c r="QT7" s="28"/>
      <c r="QU7" s="28"/>
      <c r="QV7" s="28"/>
      <c r="QW7" s="28"/>
      <c r="QX7" s="28"/>
      <c r="QY7" s="28"/>
      <c r="QZ7" s="28"/>
      <c r="RA7" s="28"/>
      <c r="RB7" s="28"/>
      <c r="RC7" s="28"/>
      <c r="RD7" s="28"/>
      <c r="RE7" s="28"/>
      <c r="RF7" s="28"/>
      <c r="RG7" s="28"/>
      <c r="RH7" s="28"/>
      <c r="RI7" s="28"/>
      <c r="RJ7" s="28"/>
      <c r="RK7" s="28"/>
      <c r="RL7" s="28"/>
      <c r="RM7" s="28"/>
      <c r="RN7" s="28"/>
      <c r="RO7" s="28"/>
      <c r="RP7" s="28"/>
      <c r="RQ7" s="28"/>
    </row>
    <row r="8" spans="1:485" s="56" customFormat="1" ht="13.5" customHeight="1" x14ac:dyDescent="0.25">
      <c r="A8" s="31" t="s">
        <v>12</v>
      </c>
      <c r="B8" s="57">
        <v>45147</v>
      </c>
      <c r="C8" s="58">
        <v>88</v>
      </c>
      <c r="D8" s="59">
        <v>5869.58</v>
      </c>
      <c r="E8" s="59">
        <v>6737.27</v>
      </c>
      <c r="F8" s="59">
        <v>29592.67</v>
      </c>
      <c r="G8" s="59">
        <v>4542.58</v>
      </c>
      <c r="H8" s="59">
        <v>2807.18</v>
      </c>
      <c r="I8" s="59">
        <v>2552</v>
      </c>
      <c r="J8" s="59">
        <v>0</v>
      </c>
      <c r="K8" s="59">
        <v>0</v>
      </c>
      <c r="L8" s="59">
        <v>2201.98</v>
      </c>
      <c r="M8" s="59">
        <v>1939.63</v>
      </c>
      <c r="N8" s="59">
        <v>0</v>
      </c>
      <c r="O8" s="59">
        <v>8385</v>
      </c>
      <c r="P8" s="59">
        <v>704</v>
      </c>
      <c r="Q8" s="59">
        <v>9136.81</v>
      </c>
      <c r="R8" s="59">
        <v>13251.84</v>
      </c>
      <c r="S8" s="60">
        <v>7857.69</v>
      </c>
      <c r="T8" s="61">
        <f t="shared" si="0"/>
        <v>95578.23</v>
      </c>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c r="IO8" s="28"/>
      <c r="IP8" s="28"/>
      <c r="IQ8" s="28"/>
      <c r="IR8" s="28"/>
      <c r="IS8" s="28"/>
      <c r="IT8" s="28"/>
      <c r="IU8" s="28"/>
      <c r="IV8" s="28"/>
      <c r="IW8" s="28"/>
      <c r="IX8" s="28"/>
      <c r="IY8" s="28"/>
      <c r="IZ8" s="28"/>
      <c r="JA8" s="28"/>
      <c r="JB8" s="28"/>
      <c r="JC8" s="28"/>
      <c r="JD8" s="28"/>
      <c r="JE8" s="28"/>
      <c r="JF8" s="28"/>
      <c r="JG8" s="28"/>
      <c r="JH8" s="28"/>
      <c r="JI8" s="28"/>
      <c r="JJ8" s="28"/>
      <c r="JK8" s="28"/>
      <c r="JL8" s="28"/>
      <c r="JM8" s="28"/>
      <c r="JN8" s="28"/>
      <c r="JO8" s="28"/>
      <c r="JP8" s="28"/>
      <c r="JQ8" s="28"/>
      <c r="JR8" s="28"/>
      <c r="JS8" s="28"/>
      <c r="JT8" s="28"/>
      <c r="JU8" s="28"/>
      <c r="JV8" s="28"/>
      <c r="JW8" s="28"/>
      <c r="JX8" s="28"/>
      <c r="JY8" s="28"/>
      <c r="JZ8" s="28"/>
      <c r="KA8" s="28"/>
      <c r="KB8" s="28"/>
      <c r="KC8" s="28"/>
      <c r="KD8" s="28"/>
      <c r="KE8" s="28"/>
      <c r="KF8" s="28"/>
      <c r="KG8" s="28"/>
      <c r="KH8" s="28"/>
      <c r="KI8" s="28"/>
      <c r="KJ8" s="28"/>
      <c r="KK8" s="28"/>
      <c r="KL8" s="28"/>
      <c r="KM8" s="28"/>
      <c r="KN8" s="28"/>
      <c r="KO8" s="28"/>
      <c r="KP8" s="28"/>
      <c r="KQ8" s="28"/>
      <c r="KR8" s="28"/>
      <c r="KS8" s="28"/>
      <c r="KT8" s="28"/>
      <c r="KU8" s="28"/>
      <c r="KV8" s="28"/>
      <c r="KW8" s="28"/>
      <c r="KX8" s="28"/>
      <c r="KY8" s="28"/>
      <c r="KZ8" s="28"/>
      <c r="LA8" s="28"/>
      <c r="LB8" s="28"/>
      <c r="LC8" s="28"/>
      <c r="LD8" s="28"/>
      <c r="LE8" s="28"/>
      <c r="LF8" s="28"/>
      <c r="LG8" s="28"/>
      <c r="LH8" s="28"/>
      <c r="LI8" s="28"/>
      <c r="LJ8" s="28"/>
      <c r="LK8" s="28"/>
      <c r="LL8" s="28"/>
      <c r="LM8" s="28"/>
      <c r="LN8" s="28"/>
      <c r="LO8" s="28"/>
      <c r="LP8" s="28"/>
      <c r="LQ8" s="28"/>
      <c r="LR8" s="28"/>
      <c r="LS8" s="28"/>
      <c r="LT8" s="28"/>
      <c r="LU8" s="28"/>
      <c r="LV8" s="28"/>
      <c r="LW8" s="28"/>
      <c r="LX8" s="28"/>
      <c r="LY8" s="28"/>
      <c r="LZ8" s="28"/>
      <c r="MA8" s="28"/>
      <c r="MB8" s="28"/>
      <c r="MC8" s="28"/>
      <c r="MD8" s="28"/>
      <c r="ME8" s="28"/>
      <c r="MF8" s="28"/>
      <c r="MG8" s="28"/>
      <c r="MH8" s="28"/>
      <c r="MI8" s="28"/>
      <c r="MJ8" s="28"/>
      <c r="MK8" s="28"/>
      <c r="ML8" s="28"/>
      <c r="MM8" s="28"/>
      <c r="MN8" s="28"/>
      <c r="MO8" s="28"/>
      <c r="MP8" s="28"/>
      <c r="MQ8" s="28"/>
      <c r="MR8" s="28"/>
      <c r="MS8" s="28"/>
      <c r="MT8" s="28"/>
      <c r="MU8" s="28"/>
      <c r="MV8" s="28"/>
      <c r="MW8" s="28"/>
      <c r="MX8" s="28"/>
      <c r="MY8" s="28"/>
      <c r="MZ8" s="28"/>
      <c r="NA8" s="28"/>
      <c r="NB8" s="28"/>
      <c r="NC8" s="28"/>
      <c r="ND8" s="28"/>
      <c r="NE8" s="28"/>
      <c r="NF8" s="28"/>
      <c r="NG8" s="28"/>
      <c r="NH8" s="28"/>
      <c r="NI8" s="28"/>
      <c r="NJ8" s="28"/>
      <c r="NK8" s="28"/>
      <c r="NL8" s="28"/>
      <c r="NM8" s="28"/>
      <c r="NN8" s="28"/>
      <c r="NO8" s="28"/>
      <c r="NP8" s="28"/>
      <c r="NQ8" s="28"/>
      <c r="NR8" s="28"/>
      <c r="NS8" s="28"/>
      <c r="NT8" s="28"/>
      <c r="NU8" s="28"/>
      <c r="NV8" s="28"/>
      <c r="NW8" s="28"/>
      <c r="NX8" s="28"/>
      <c r="NY8" s="28"/>
      <c r="NZ8" s="28"/>
      <c r="OA8" s="28"/>
      <c r="OB8" s="28"/>
      <c r="OC8" s="28"/>
      <c r="OD8" s="28"/>
      <c r="OE8" s="28"/>
      <c r="OF8" s="28"/>
      <c r="OG8" s="28"/>
      <c r="OH8" s="28"/>
      <c r="OI8" s="28"/>
      <c r="OJ8" s="28"/>
      <c r="OK8" s="28"/>
      <c r="OL8" s="28"/>
      <c r="OM8" s="28"/>
      <c r="ON8" s="28"/>
      <c r="OO8" s="28"/>
      <c r="OP8" s="28"/>
      <c r="OQ8" s="28"/>
      <c r="OR8" s="28"/>
      <c r="OS8" s="28"/>
      <c r="OT8" s="28"/>
      <c r="OU8" s="28"/>
      <c r="OV8" s="28"/>
      <c r="OW8" s="28"/>
      <c r="OX8" s="28"/>
      <c r="OY8" s="28"/>
      <c r="OZ8" s="28"/>
      <c r="PA8" s="28"/>
      <c r="PB8" s="28"/>
      <c r="PC8" s="28"/>
      <c r="PD8" s="28"/>
      <c r="PE8" s="28"/>
      <c r="PF8" s="28"/>
      <c r="PG8" s="28"/>
      <c r="PH8" s="28"/>
      <c r="PI8" s="28"/>
      <c r="PJ8" s="28"/>
      <c r="PK8" s="28"/>
      <c r="PL8" s="28"/>
      <c r="PM8" s="28"/>
      <c r="PN8" s="28"/>
      <c r="PO8" s="28"/>
      <c r="PP8" s="28"/>
      <c r="PQ8" s="28"/>
      <c r="PR8" s="28"/>
      <c r="PS8" s="28"/>
      <c r="PT8" s="28"/>
      <c r="PU8" s="28"/>
      <c r="PV8" s="28"/>
      <c r="PW8" s="28"/>
      <c r="PX8" s="28"/>
      <c r="PY8" s="28"/>
      <c r="PZ8" s="28"/>
      <c r="QA8" s="28"/>
      <c r="QB8" s="28"/>
      <c r="QC8" s="28"/>
      <c r="QD8" s="28"/>
      <c r="QE8" s="28"/>
      <c r="QF8" s="28"/>
      <c r="QG8" s="28"/>
      <c r="QH8" s="28"/>
      <c r="QI8" s="28"/>
      <c r="QJ8" s="28"/>
      <c r="QK8" s="28"/>
      <c r="QL8" s="28"/>
      <c r="QM8" s="28"/>
      <c r="QN8" s="28"/>
      <c r="QO8" s="28"/>
      <c r="QP8" s="28"/>
      <c r="QQ8" s="28"/>
      <c r="QR8" s="28"/>
      <c r="QS8" s="28"/>
      <c r="QT8" s="28"/>
      <c r="QU8" s="28"/>
      <c r="QV8" s="28"/>
      <c r="QW8" s="28"/>
      <c r="QX8" s="28"/>
      <c r="QY8" s="28"/>
      <c r="QZ8" s="28"/>
      <c r="RA8" s="28"/>
      <c r="RB8" s="28"/>
      <c r="RC8" s="28"/>
      <c r="RD8" s="28"/>
      <c r="RE8" s="28"/>
      <c r="RF8" s="28"/>
      <c r="RG8" s="28"/>
      <c r="RH8" s="28"/>
      <c r="RI8" s="28"/>
      <c r="RJ8" s="28"/>
      <c r="RK8" s="28"/>
      <c r="RL8" s="28"/>
      <c r="RM8" s="28"/>
      <c r="RN8" s="28"/>
      <c r="RO8" s="28"/>
      <c r="RP8" s="28"/>
      <c r="RQ8" s="28"/>
    </row>
    <row r="9" spans="1:485" s="56" customFormat="1" x14ac:dyDescent="0.25">
      <c r="A9" s="31" t="s">
        <v>13</v>
      </c>
      <c r="B9" s="57">
        <v>45160</v>
      </c>
      <c r="C9" s="58">
        <v>78</v>
      </c>
      <c r="D9" s="59">
        <v>20043.310000000001</v>
      </c>
      <c r="E9" s="59">
        <v>17080.34</v>
      </c>
      <c r="F9" s="59">
        <v>119994.1</v>
      </c>
      <c r="G9" s="59">
        <v>7843</v>
      </c>
      <c r="H9" s="59">
        <v>3485.79</v>
      </c>
      <c r="I9" s="59">
        <v>2910.62</v>
      </c>
      <c r="J9" s="59">
        <v>0</v>
      </c>
      <c r="K9" s="59">
        <v>17732.689999999999</v>
      </c>
      <c r="L9" s="59">
        <v>0</v>
      </c>
      <c r="M9" s="59">
        <v>0</v>
      </c>
      <c r="N9" s="59">
        <v>0</v>
      </c>
      <c r="O9" s="59">
        <v>26036.05</v>
      </c>
      <c r="P9" s="59">
        <v>468</v>
      </c>
      <c r="Q9" s="59">
        <v>30610.7</v>
      </c>
      <c r="R9" s="59">
        <v>44096.14</v>
      </c>
      <c r="S9" s="60">
        <v>23140</v>
      </c>
      <c r="T9" s="61">
        <f t="shared" si="0"/>
        <v>313440.74</v>
      </c>
      <c r="U9" s="57"/>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c r="IU9" s="28"/>
      <c r="IV9" s="28"/>
      <c r="IW9" s="28"/>
      <c r="IX9" s="28"/>
      <c r="IY9" s="28"/>
      <c r="IZ9" s="28"/>
      <c r="JA9" s="28"/>
      <c r="JB9" s="28"/>
      <c r="JC9" s="28"/>
      <c r="JD9" s="28"/>
      <c r="JE9" s="28"/>
      <c r="JF9" s="28"/>
      <c r="JG9" s="28"/>
      <c r="JH9" s="28"/>
      <c r="JI9" s="28"/>
      <c r="JJ9" s="28"/>
      <c r="JK9" s="28"/>
      <c r="JL9" s="28"/>
      <c r="JM9" s="28"/>
      <c r="JN9" s="28"/>
      <c r="JO9" s="28"/>
      <c r="JP9" s="28"/>
      <c r="JQ9" s="28"/>
      <c r="JR9" s="28"/>
      <c r="JS9" s="28"/>
      <c r="JT9" s="28"/>
      <c r="JU9" s="28"/>
      <c r="JV9" s="28"/>
      <c r="JW9" s="28"/>
      <c r="JX9" s="28"/>
      <c r="JY9" s="28"/>
      <c r="JZ9" s="28"/>
      <c r="KA9" s="28"/>
      <c r="KB9" s="28"/>
      <c r="KC9" s="28"/>
      <c r="KD9" s="28"/>
      <c r="KE9" s="28"/>
      <c r="KF9" s="28"/>
      <c r="KG9" s="28"/>
      <c r="KH9" s="28"/>
      <c r="KI9" s="28"/>
      <c r="KJ9" s="28"/>
      <c r="KK9" s="28"/>
      <c r="KL9" s="28"/>
      <c r="KM9" s="28"/>
      <c r="KN9" s="28"/>
      <c r="KO9" s="28"/>
      <c r="KP9" s="28"/>
      <c r="KQ9" s="28"/>
      <c r="KR9" s="28"/>
      <c r="KS9" s="28"/>
      <c r="KT9" s="28"/>
      <c r="KU9" s="28"/>
      <c r="KV9" s="28"/>
      <c r="KW9" s="28"/>
      <c r="KX9" s="28"/>
      <c r="KY9" s="28"/>
      <c r="KZ9" s="28"/>
      <c r="LA9" s="28"/>
      <c r="LB9" s="28"/>
      <c r="LC9" s="28"/>
      <c r="LD9" s="28"/>
      <c r="LE9" s="28"/>
      <c r="LF9" s="28"/>
      <c r="LG9" s="28"/>
      <c r="LH9" s="28"/>
      <c r="LI9" s="28"/>
      <c r="LJ9" s="28"/>
      <c r="LK9" s="28"/>
      <c r="LL9" s="28"/>
      <c r="LM9" s="28"/>
      <c r="LN9" s="28"/>
      <c r="LO9" s="28"/>
      <c r="LP9" s="28"/>
      <c r="LQ9" s="28"/>
      <c r="LR9" s="28"/>
      <c r="LS9" s="28"/>
      <c r="LT9" s="28"/>
      <c r="LU9" s="28"/>
      <c r="LV9" s="28"/>
      <c r="LW9" s="28"/>
      <c r="LX9" s="28"/>
      <c r="LY9" s="28"/>
      <c r="LZ9" s="28"/>
      <c r="MA9" s="28"/>
      <c r="MB9" s="28"/>
      <c r="MC9" s="28"/>
      <c r="MD9" s="28"/>
      <c r="ME9" s="28"/>
      <c r="MF9" s="28"/>
      <c r="MG9" s="28"/>
      <c r="MH9" s="28"/>
      <c r="MI9" s="28"/>
      <c r="MJ9" s="28"/>
      <c r="MK9" s="28"/>
      <c r="ML9" s="28"/>
      <c r="MM9" s="28"/>
      <c r="MN9" s="28"/>
      <c r="MO9" s="28"/>
      <c r="MP9" s="28"/>
      <c r="MQ9" s="28"/>
      <c r="MR9" s="28"/>
      <c r="MS9" s="28"/>
      <c r="MT9" s="28"/>
      <c r="MU9" s="28"/>
      <c r="MV9" s="28"/>
      <c r="MW9" s="28"/>
      <c r="MX9" s="28"/>
      <c r="MY9" s="28"/>
      <c r="MZ9" s="28"/>
      <c r="NA9" s="28"/>
      <c r="NB9" s="28"/>
      <c r="NC9" s="28"/>
      <c r="ND9" s="28"/>
      <c r="NE9" s="28"/>
      <c r="NF9" s="28"/>
      <c r="NG9" s="28"/>
      <c r="NH9" s="28"/>
      <c r="NI9" s="28"/>
      <c r="NJ9" s="28"/>
      <c r="NK9" s="28"/>
      <c r="NL9" s="28"/>
      <c r="NM9" s="28"/>
      <c r="NN9" s="28"/>
      <c r="NO9" s="28"/>
      <c r="NP9" s="28"/>
      <c r="NQ9" s="28"/>
      <c r="NR9" s="28"/>
      <c r="NS9" s="28"/>
      <c r="NT9" s="28"/>
      <c r="NU9" s="28"/>
      <c r="NV9" s="28"/>
      <c r="NW9" s="28"/>
      <c r="NX9" s="28"/>
      <c r="NY9" s="28"/>
      <c r="NZ9" s="28"/>
      <c r="OA9" s="28"/>
      <c r="OB9" s="28"/>
      <c r="OC9" s="28"/>
      <c r="OD9" s="28"/>
      <c r="OE9" s="28"/>
      <c r="OF9" s="28"/>
      <c r="OG9" s="28"/>
      <c r="OH9" s="28"/>
      <c r="OI9" s="28"/>
      <c r="OJ9" s="28"/>
      <c r="OK9" s="28"/>
      <c r="OL9" s="28"/>
      <c r="OM9" s="28"/>
      <c r="ON9" s="28"/>
      <c r="OO9" s="28"/>
      <c r="OP9" s="28"/>
      <c r="OQ9" s="28"/>
      <c r="OR9" s="28"/>
      <c r="OS9" s="28"/>
      <c r="OT9" s="28"/>
      <c r="OU9" s="28"/>
      <c r="OV9" s="28"/>
      <c r="OW9" s="28"/>
      <c r="OX9" s="28"/>
      <c r="OY9" s="28"/>
      <c r="OZ9" s="28"/>
      <c r="PA9" s="28"/>
      <c r="PB9" s="28"/>
      <c r="PC9" s="28"/>
      <c r="PD9" s="28"/>
      <c r="PE9" s="28"/>
      <c r="PF9" s="28"/>
      <c r="PG9" s="28"/>
      <c r="PH9" s="28"/>
      <c r="PI9" s="28"/>
      <c r="PJ9" s="28"/>
      <c r="PK9" s="28"/>
      <c r="PL9" s="28"/>
      <c r="PM9" s="28"/>
      <c r="PN9" s="28"/>
      <c r="PO9" s="28"/>
      <c r="PP9" s="28"/>
      <c r="PQ9" s="28"/>
      <c r="PR9" s="28"/>
      <c r="PS9" s="28"/>
      <c r="PT9" s="28"/>
      <c r="PU9" s="28"/>
      <c r="PV9" s="28"/>
      <c r="PW9" s="28"/>
      <c r="PX9" s="28"/>
      <c r="PY9" s="28"/>
      <c r="PZ9" s="28"/>
      <c r="QA9" s="28"/>
      <c r="QB9" s="28"/>
      <c r="QC9" s="28"/>
      <c r="QD9" s="28"/>
      <c r="QE9" s="28"/>
      <c r="QF9" s="28"/>
      <c r="QG9" s="28"/>
      <c r="QH9" s="28"/>
      <c r="QI9" s="28"/>
      <c r="QJ9" s="28"/>
      <c r="QK9" s="28"/>
      <c r="QL9" s="28"/>
      <c r="QM9" s="28"/>
      <c r="QN9" s="28"/>
      <c r="QO9" s="28"/>
      <c r="QP9" s="28"/>
      <c r="QQ9" s="28"/>
      <c r="QR9" s="28"/>
      <c r="QS9" s="28"/>
      <c r="QT9" s="28"/>
      <c r="QU9" s="28"/>
      <c r="QV9" s="28"/>
      <c r="QW9" s="28"/>
      <c r="QX9" s="28"/>
      <c r="QY9" s="28"/>
      <c r="QZ9" s="28"/>
      <c r="RA9" s="28"/>
      <c r="RB9" s="28"/>
      <c r="RC9" s="28"/>
      <c r="RD9" s="28"/>
      <c r="RE9" s="28"/>
      <c r="RF9" s="28"/>
      <c r="RG9" s="28"/>
      <c r="RH9" s="28"/>
      <c r="RI9" s="28"/>
      <c r="RJ9" s="28"/>
      <c r="RK9" s="28"/>
      <c r="RL9" s="28"/>
      <c r="RM9" s="28"/>
      <c r="RN9" s="28"/>
      <c r="RO9" s="28"/>
      <c r="RP9" s="28"/>
      <c r="RQ9" s="28"/>
    </row>
    <row r="10" spans="1:485" s="56" customFormat="1" x14ac:dyDescent="0.25">
      <c r="A10" s="31" t="s">
        <v>14</v>
      </c>
      <c r="B10" s="57">
        <v>45140</v>
      </c>
      <c r="C10" s="58">
        <v>40</v>
      </c>
      <c r="D10" s="59">
        <v>4864.59</v>
      </c>
      <c r="E10" s="59">
        <v>5209.3599999999997</v>
      </c>
      <c r="F10" s="79">
        <v>13723.85</v>
      </c>
      <c r="G10" s="59">
        <v>3384.06</v>
      </c>
      <c r="H10" s="59">
        <v>1945.84</v>
      </c>
      <c r="I10" s="59">
        <v>1099.8</v>
      </c>
      <c r="J10" s="59">
        <v>0</v>
      </c>
      <c r="K10" s="59">
        <v>0</v>
      </c>
      <c r="L10" s="59">
        <v>0</v>
      </c>
      <c r="M10" s="59">
        <v>296.13</v>
      </c>
      <c r="N10" s="59">
        <v>0</v>
      </c>
      <c r="O10" s="59">
        <v>3641.05</v>
      </c>
      <c r="P10" s="59">
        <v>80</v>
      </c>
      <c r="Q10" s="59">
        <v>0</v>
      </c>
      <c r="R10" s="59">
        <v>5832.73</v>
      </c>
      <c r="S10" s="60">
        <v>3516.38</v>
      </c>
      <c r="T10" s="61">
        <f t="shared" si="0"/>
        <v>43593.79</v>
      </c>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c r="IO10" s="28"/>
      <c r="IP10" s="28"/>
      <c r="IQ10" s="28"/>
      <c r="IR10" s="28"/>
      <c r="IS10" s="28"/>
      <c r="IT10" s="28"/>
      <c r="IU10" s="28"/>
      <c r="IV10" s="28"/>
      <c r="IW10" s="28"/>
      <c r="IX10" s="28"/>
      <c r="IY10" s="28"/>
      <c r="IZ10" s="28"/>
      <c r="JA10" s="28"/>
      <c r="JB10" s="28"/>
      <c r="JC10" s="28"/>
      <c r="JD10" s="28"/>
      <c r="JE10" s="28"/>
      <c r="JF10" s="28"/>
      <c r="JG10" s="28"/>
      <c r="JH10" s="28"/>
      <c r="JI10" s="28"/>
      <c r="JJ10" s="28"/>
      <c r="JK10" s="28"/>
      <c r="JL10" s="28"/>
      <c r="JM10" s="28"/>
      <c r="JN10" s="28"/>
      <c r="JO10" s="28"/>
      <c r="JP10" s="28"/>
      <c r="JQ10" s="28"/>
      <c r="JR10" s="28"/>
      <c r="JS10" s="28"/>
      <c r="JT10" s="28"/>
      <c r="JU10" s="28"/>
      <c r="JV10" s="28"/>
      <c r="JW10" s="28"/>
      <c r="JX10" s="28"/>
      <c r="JY10" s="28"/>
      <c r="JZ10" s="28"/>
      <c r="KA10" s="28"/>
      <c r="KB10" s="28"/>
      <c r="KC10" s="28"/>
      <c r="KD10" s="28"/>
      <c r="KE10" s="28"/>
      <c r="KF10" s="28"/>
      <c r="KG10" s="28"/>
      <c r="KH10" s="28"/>
      <c r="KI10" s="28"/>
      <c r="KJ10" s="28"/>
      <c r="KK10" s="28"/>
      <c r="KL10" s="28"/>
      <c r="KM10" s="28"/>
      <c r="KN10" s="28"/>
      <c r="KO10" s="28"/>
      <c r="KP10" s="28"/>
      <c r="KQ10" s="28"/>
      <c r="KR10" s="28"/>
      <c r="KS10" s="28"/>
      <c r="KT10" s="28"/>
      <c r="KU10" s="28"/>
      <c r="KV10" s="28"/>
      <c r="KW10" s="28"/>
      <c r="KX10" s="28"/>
      <c r="KY10" s="28"/>
      <c r="KZ10" s="28"/>
      <c r="LA10" s="28"/>
      <c r="LB10" s="28"/>
      <c r="LC10" s="28"/>
      <c r="LD10" s="28"/>
      <c r="LE10" s="28"/>
      <c r="LF10" s="28"/>
      <c r="LG10" s="28"/>
      <c r="LH10" s="28"/>
      <c r="LI10" s="28"/>
      <c r="LJ10" s="28"/>
      <c r="LK10" s="28"/>
      <c r="LL10" s="28"/>
      <c r="LM10" s="28"/>
      <c r="LN10" s="28"/>
      <c r="LO10" s="28"/>
      <c r="LP10" s="28"/>
      <c r="LQ10" s="28"/>
      <c r="LR10" s="28"/>
      <c r="LS10" s="28"/>
      <c r="LT10" s="28"/>
      <c r="LU10" s="28"/>
      <c r="LV10" s="28"/>
      <c r="LW10" s="28"/>
      <c r="LX10" s="28"/>
      <c r="LY10" s="28"/>
      <c r="LZ10" s="28"/>
      <c r="MA10" s="28"/>
      <c r="MB10" s="28"/>
      <c r="MC10" s="28"/>
      <c r="MD10" s="28"/>
      <c r="ME10" s="28"/>
      <c r="MF10" s="28"/>
      <c r="MG10" s="28"/>
      <c r="MH10" s="28"/>
      <c r="MI10" s="28"/>
      <c r="MJ10" s="28"/>
      <c r="MK10" s="28"/>
      <c r="ML10" s="28"/>
      <c r="MM10" s="28"/>
      <c r="MN10" s="28"/>
      <c r="MO10" s="28"/>
      <c r="MP10" s="28"/>
      <c r="MQ10" s="28"/>
      <c r="MR10" s="28"/>
      <c r="MS10" s="28"/>
      <c r="MT10" s="28"/>
      <c r="MU10" s="28"/>
      <c r="MV10" s="28"/>
      <c r="MW10" s="28"/>
      <c r="MX10" s="28"/>
      <c r="MY10" s="28"/>
      <c r="MZ10" s="28"/>
      <c r="NA10" s="28"/>
      <c r="NB10" s="28"/>
      <c r="NC10" s="28"/>
      <c r="ND10" s="28"/>
      <c r="NE10" s="28"/>
      <c r="NF10" s="28"/>
      <c r="NG10" s="28"/>
      <c r="NH10" s="28"/>
      <c r="NI10" s="28"/>
      <c r="NJ10" s="28"/>
      <c r="NK10" s="28"/>
      <c r="NL10" s="28"/>
      <c r="NM10" s="28"/>
      <c r="NN10" s="28"/>
      <c r="NO10" s="28"/>
      <c r="NP10" s="28"/>
      <c r="NQ10" s="28"/>
      <c r="NR10" s="28"/>
      <c r="NS10" s="28"/>
      <c r="NT10" s="28"/>
      <c r="NU10" s="28"/>
      <c r="NV10" s="28"/>
      <c r="NW10" s="28"/>
      <c r="NX10" s="28"/>
      <c r="NY10" s="28"/>
      <c r="NZ10" s="28"/>
      <c r="OA10" s="28"/>
      <c r="OB10" s="28"/>
      <c r="OC10" s="28"/>
      <c r="OD10" s="28"/>
      <c r="OE10" s="28"/>
      <c r="OF10" s="28"/>
      <c r="OG10" s="28"/>
      <c r="OH10" s="28"/>
      <c r="OI10" s="28"/>
      <c r="OJ10" s="28"/>
      <c r="OK10" s="28"/>
      <c r="OL10" s="28"/>
      <c r="OM10" s="28"/>
      <c r="ON10" s="28"/>
      <c r="OO10" s="28"/>
      <c r="OP10" s="28"/>
      <c r="OQ10" s="28"/>
      <c r="OR10" s="28"/>
      <c r="OS10" s="28"/>
      <c r="OT10" s="28"/>
      <c r="OU10" s="28"/>
      <c r="OV10" s="28"/>
      <c r="OW10" s="28"/>
      <c r="OX10" s="28"/>
      <c r="OY10" s="28"/>
      <c r="OZ10" s="28"/>
      <c r="PA10" s="28"/>
      <c r="PB10" s="28"/>
      <c r="PC10" s="28"/>
      <c r="PD10" s="28"/>
      <c r="PE10" s="28"/>
      <c r="PF10" s="28"/>
      <c r="PG10" s="28"/>
      <c r="PH10" s="28"/>
      <c r="PI10" s="28"/>
      <c r="PJ10" s="28"/>
      <c r="PK10" s="28"/>
      <c r="PL10" s="28"/>
      <c r="PM10" s="28"/>
      <c r="PN10" s="28"/>
      <c r="PO10" s="28"/>
      <c r="PP10" s="28"/>
      <c r="PQ10" s="28"/>
      <c r="PR10" s="28"/>
      <c r="PS10" s="28"/>
      <c r="PT10" s="28"/>
      <c r="PU10" s="28"/>
      <c r="PV10" s="28"/>
      <c r="PW10" s="28"/>
      <c r="PX10" s="28"/>
      <c r="PY10" s="28"/>
      <c r="PZ10" s="28"/>
      <c r="QA10" s="28"/>
      <c r="QB10" s="28"/>
      <c r="QC10" s="28"/>
      <c r="QD10" s="28"/>
      <c r="QE10" s="28"/>
      <c r="QF10" s="28"/>
      <c r="QG10" s="28"/>
      <c r="QH10" s="28"/>
      <c r="QI10" s="28"/>
      <c r="QJ10" s="28"/>
      <c r="QK10" s="28"/>
      <c r="QL10" s="28"/>
      <c r="QM10" s="28"/>
      <c r="QN10" s="28"/>
      <c r="QO10" s="28"/>
      <c r="QP10" s="28"/>
      <c r="QQ10" s="28"/>
      <c r="QR10" s="28"/>
      <c r="QS10" s="28"/>
      <c r="QT10" s="28"/>
      <c r="QU10" s="28"/>
      <c r="QV10" s="28"/>
      <c r="QW10" s="28"/>
      <c r="QX10" s="28"/>
      <c r="QY10" s="28"/>
      <c r="QZ10" s="28"/>
      <c r="RA10" s="28"/>
      <c r="RB10" s="28"/>
      <c r="RC10" s="28"/>
      <c r="RD10" s="28"/>
      <c r="RE10" s="28"/>
      <c r="RF10" s="28"/>
      <c r="RG10" s="28"/>
      <c r="RH10" s="28"/>
      <c r="RI10" s="28"/>
      <c r="RJ10" s="28"/>
      <c r="RK10" s="28"/>
      <c r="RL10" s="28"/>
      <c r="RM10" s="28"/>
      <c r="RN10" s="28"/>
      <c r="RO10" s="28"/>
      <c r="RP10" s="28"/>
      <c r="RQ10" s="28"/>
    </row>
    <row r="11" spans="1:485" s="56" customFormat="1" x14ac:dyDescent="0.25">
      <c r="A11" s="31" t="s">
        <v>15</v>
      </c>
      <c r="B11" s="57">
        <v>45153</v>
      </c>
      <c r="C11" s="58">
        <v>442</v>
      </c>
      <c r="D11" s="59">
        <v>36489.54</v>
      </c>
      <c r="E11" s="59">
        <v>51384.6</v>
      </c>
      <c r="F11" s="59">
        <v>116402.46</v>
      </c>
      <c r="G11" s="59">
        <v>35289.870000000003</v>
      </c>
      <c r="H11" s="59">
        <v>18217.89</v>
      </c>
      <c r="I11" s="59">
        <v>10952.03</v>
      </c>
      <c r="J11" s="59">
        <v>0</v>
      </c>
      <c r="K11" s="59">
        <v>14367.54</v>
      </c>
      <c r="L11" s="59">
        <v>7476.32</v>
      </c>
      <c r="M11" s="59">
        <v>1485.02</v>
      </c>
      <c r="N11" s="59">
        <v>29095.64</v>
      </c>
      <c r="O11" s="59">
        <v>48139.17</v>
      </c>
      <c r="P11" s="59"/>
      <c r="Q11" s="59">
        <v>54789.87</v>
      </c>
      <c r="R11" s="59">
        <v>76070.97</v>
      </c>
      <c r="S11" s="60">
        <v>46339.79</v>
      </c>
      <c r="T11" s="61">
        <f t="shared" si="0"/>
        <v>546500.71000000008</v>
      </c>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KR11" s="28"/>
      <c r="KS11" s="28"/>
      <c r="KT11" s="28"/>
      <c r="KU11" s="28"/>
      <c r="KV11" s="28"/>
      <c r="KW11" s="28"/>
      <c r="KX11" s="28"/>
      <c r="KY11" s="28"/>
      <c r="KZ11" s="28"/>
      <c r="LA11" s="28"/>
      <c r="LB11" s="28"/>
      <c r="LC11" s="28"/>
      <c r="LD11" s="28"/>
      <c r="LE11" s="28"/>
      <c r="LF11" s="28"/>
      <c r="LG11" s="28"/>
      <c r="LH11" s="28"/>
      <c r="LI11" s="28"/>
      <c r="LJ11" s="28"/>
      <c r="LK11" s="28"/>
      <c r="LL11" s="28"/>
      <c r="LM11" s="28"/>
      <c r="LN11" s="28"/>
      <c r="LO11" s="28"/>
      <c r="LP11" s="28"/>
      <c r="LQ11" s="28"/>
      <c r="LR11" s="28"/>
      <c r="LS11" s="28"/>
      <c r="LT11" s="28"/>
      <c r="LU11" s="28"/>
      <c r="LV11" s="28"/>
      <c r="LW11" s="28"/>
      <c r="LX11" s="28"/>
      <c r="LY11" s="28"/>
      <c r="LZ11" s="28"/>
      <c r="MA11" s="28"/>
      <c r="MB11" s="28"/>
      <c r="MC11" s="28"/>
      <c r="MD11" s="28"/>
      <c r="ME11" s="28"/>
      <c r="MF11" s="28"/>
      <c r="MG11" s="28"/>
      <c r="MH11" s="28"/>
      <c r="MI11" s="28"/>
      <c r="MJ11" s="28"/>
      <c r="MK11" s="28"/>
      <c r="ML11" s="28"/>
      <c r="MM11" s="28"/>
      <c r="MN11" s="28"/>
      <c r="MO11" s="28"/>
      <c r="MP11" s="28"/>
      <c r="MQ11" s="28"/>
      <c r="MR11" s="28"/>
      <c r="MS11" s="28"/>
      <c r="MT11" s="28"/>
      <c r="MU11" s="28"/>
      <c r="MV11" s="28"/>
      <c r="MW11" s="28"/>
      <c r="MX11" s="28"/>
      <c r="MY11" s="28"/>
      <c r="MZ11" s="28"/>
      <c r="NA11" s="28"/>
      <c r="NB11" s="28"/>
      <c r="NC11" s="28"/>
      <c r="ND11" s="28"/>
      <c r="NE11" s="28"/>
      <c r="NF11" s="28"/>
      <c r="NG11" s="28"/>
      <c r="NH11" s="28"/>
      <c r="NI11" s="28"/>
      <c r="NJ11" s="28"/>
      <c r="NK11" s="28"/>
      <c r="NL11" s="28"/>
      <c r="NM11" s="28"/>
      <c r="NN11" s="28"/>
      <c r="NO11" s="28"/>
      <c r="NP11" s="28"/>
      <c r="NQ11" s="28"/>
      <c r="NR11" s="28"/>
      <c r="NS11" s="28"/>
      <c r="NT11" s="28"/>
      <c r="NU11" s="28"/>
      <c r="NV11" s="28"/>
      <c r="NW11" s="28"/>
      <c r="NX11" s="28"/>
      <c r="NY11" s="28"/>
      <c r="NZ11" s="28"/>
      <c r="OA11" s="28"/>
      <c r="OB11" s="28"/>
      <c r="OC11" s="28"/>
      <c r="OD11" s="28"/>
      <c r="OE11" s="28"/>
      <c r="OF11" s="28"/>
      <c r="OG11" s="28"/>
      <c r="OH11" s="28"/>
      <c r="OI11" s="28"/>
      <c r="OJ11" s="28"/>
      <c r="OK11" s="28"/>
      <c r="OL11" s="28"/>
      <c r="OM11" s="28"/>
      <c r="ON11" s="28"/>
      <c r="OO11" s="28"/>
      <c r="OP11" s="28"/>
      <c r="OQ11" s="28"/>
      <c r="OR11" s="28"/>
      <c r="OS11" s="28"/>
      <c r="OT11" s="28"/>
      <c r="OU11" s="28"/>
      <c r="OV11" s="28"/>
      <c r="OW11" s="28"/>
      <c r="OX11" s="28"/>
      <c r="OY11" s="28"/>
      <c r="OZ11" s="28"/>
      <c r="PA11" s="28"/>
      <c r="PB11" s="28"/>
      <c r="PC11" s="28"/>
      <c r="PD11" s="28"/>
      <c r="PE11" s="28"/>
      <c r="PF11" s="28"/>
      <c r="PG11" s="28"/>
      <c r="PH11" s="28"/>
      <c r="PI11" s="28"/>
      <c r="PJ11" s="28"/>
      <c r="PK11" s="28"/>
      <c r="PL11" s="28"/>
      <c r="PM11" s="28"/>
      <c r="PN11" s="28"/>
      <c r="PO11" s="28"/>
      <c r="PP11" s="28"/>
      <c r="PQ11" s="28"/>
      <c r="PR11" s="28"/>
      <c r="PS11" s="28"/>
      <c r="PT11" s="28"/>
      <c r="PU11" s="28"/>
      <c r="PV11" s="28"/>
      <c r="PW11" s="28"/>
      <c r="PX11" s="28"/>
      <c r="PY11" s="28"/>
      <c r="PZ11" s="28"/>
      <c r="QA11" s="28"/>
      <c r="QB11" s="28"/>
      <c r="QC11" s="28"/>
      <c r="QD11" s="28"/>
      <c r="QE11" s="28"/>
      <c r="QF11" s="28"/>
      <c r="QG11" s="28"/>
      <c r="QH11" s="28"/>
      <c r="QI11" s="28"/>
      <c r="QJ11" s="28"/>
      <c r="QK11" s="28"/>
      <c r="QL11" s="28"/>
      <c r="QM11" s="28"/>
      <c r="QN11" s="28"/>
      <c r="QO11" s="28"/>
      <c r="QP11" s="28"/>
      <c r="QQ11" s="28"/>
      <c r="QR11" s="28"/>
      <c r="QS11" s="28"/>
      <c r="QT11" s="28"/>
      <c r="QU11" s="28"/>
      <c r="QV11" s="28"/>
      <c r="QW11" s="28"/>
      <c r="QX11" s="28"/>
      <c r="QY11" s="28"/>
      <c r="QZ11" s="28"/>
      <c r="RA11" s="28"/>
      <c r="RB11" s="28"/>
      <c r="RC11" s="28"/>
      <c r="RD11" s="28"/>
      <c r="RE11" s="28"/>
      <c r="RF11" s="28"/>
      <c r="RG11" s="28"/>
      <c r="RH11" s="28"/>
      <c r="RI11" s="28"/>
      <c r="RJ11" s="28"/>
      <c r="RK11" s="28"/>
      <c r="RL11" s="28"/>
      <c r="RM11" s="28"/>
      <c r="RN11" s="28"/>
      <c r="RO11" s="28"/>
      <c r="RP11" s="28"/>
      <c r="RQ11" s="28"/>
    </row>
    <row r="12" spans="1:485" s="56" customFormat="1" x14ac:dyDescent="0.25">
      <c r="A12" s="31" t="s">
        <v>16</v>
      </c>
      <c r="B12" s="57">
        <v>45167</v>
      </c>
      <c r="C12" s="58">
        <v>37</v>
      </c>
      <c r="D12" s="59">
        <v>3514.95</v>
      </c>
      <c r="E12" s="59">
        <v>1956.16</v>
      </c>
      <c r="F12" s="59">
        <v>11800.08</v>
      </c>
      <c r="G12" s="59">
        <v>2384.0700000000002</v>
      </c>
      <c r="H12" s="59">
        <v>1100.3399999999999</v>
      </c>
      <c r="I12" s="59">
        <v>2536.88</v>
      </c>
      <c r="J12" s="59">
        <v>3.2</v>
      </c>
      <c r="K12" s="59">
        <v>1228.5</v>
      </c>
      <c r="L12" s="59">
        <v>1806.81</v>
      </c>
      <c r="M12" s="59">
        <v>305.64999999999998</v>
      </c>
      <c r="N12" s="59">
        <v>0</v>
      </c>
      <c r="O12" s="59">
        <v>3929.35</v>
      </c>
      <c r="P12" s="59">
        <v>518</v>
      </c>
      <c r="Q12" s="59">
        <v>4325.1499999999996</v>
      </c>
      <c r="R12" s="59">
        <v>6192.34</v>
      </c>
      <c r="S12" s="60">
        <v>3651.15</v>
      </c>
      <c r="T12" s="61">
        <f>SUM(D12:S12)</f>
        <v>45252.63</v>
      </c>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KR12" s="28"/>
      <c r="KS12" s="28"/>
      <c r="KT12" s="28"/>
      <c r="KU12" s="28"/>
      <c r="KV12" s="28"/>
      <c r="KW12" s="28"/>
      <c r="KX12" s="28"/>
      <c r="KY12" s="28"/>
      <c r="KZ12" s="28"/>
      <c r="LA12" s="28"/>
      <c r="LB12" s="28"/>
      <c r="LC12" s="28"/>
      <c r="LD12" s="28"/>
      <c r="LE12" s="28"/>
      <c r="LF12" s="28"/>
      <c r="LG12" s="28"/>
      <c r="LH12" s="28"/>
      <c r="LI12" s="28"/>
      <c r="LJ12" s="28"/>
      <c r="LK12" s="28"/>
      <c r="LL12" s="28"/>
      <c r="LM12" s="28"/>
      <c r="LN12" s="28"/>
      <c r="LO12" s="28"/>
      <c r="LP12" s="28"/>
      <c r="LQ12" s="28"/>
      <c r="LR12" s="28"/>
      <c r="LS12" s="28"/>
      <c r="LT12" s="28"/>
      <c r="LU12" s="28"/>
      <c r="LV12" s="28"/>
      <c r="LW12" s="28"/>
      <c r="LX12" s="28"/>
      <c r="LY12" s="28"/>
      <c r="LZ12" s="28"/>
      <c r="MA12" s="28"/>
      <c r="MB12" s="28"/>
      <c r="MC12" s="28"/>
      <c r="MD12" s="28"/>
      <c r="ME12" s="28"/>
      <c r="MF12" s="28"/>
      <c r="MG12" s="28"/>
      <c r="MH12" s="28"/>
      <c r="MI12" s="28"/>
      <c r="MJ12" s="28"/>
      <c r="MK12" s="28"/>
      <c r="ML12" s="28"/>
      <c r="MM12" s="28"/>
      <c r="MN12" s="28"/>
      <c r="MO12" s="28"/>
      <c r="MP12" s="28"/>
      <c r="MQ12" s="28"/>
      <c r="MR12" s="28"/>
      <c r="MS12" s="28"/>
      <c r="MT12" s="28"/>
      <c r="MU12" s="28"/>
      <c r="MV12" s="28"/>
      <c r="MW12" s="28"/>
      <c r="MX12" s="28"/>
      <c r="MY12" s="28"/>
      <c r="MZ12" s="28"/>
      <c r="NA12" s="28"/>
      <c r="NB12" s="28"/>
      <c r="NC12" s="28"/>
      <c r="ND12" s="28"/>
      <c r="NE12" s="28"/>
      <c r="NF12" s="28"/>
      <c r="NG12" s="28"/>
      <c r="NH12" s="28"/>
      <c r="NI12" s="28"/>
      <c r="NJ12" s="28"/>
      <c r="NK12" s="28"/>
      <c r="NL12" s="28"/>
      <c r="NM12" s="28"/>
      <c r="NN12" s="28"/>
      <c r="NO12" s="28"/>
      <c r="NP12" s="28"/>
      <c r="NQ12" s="28"/>
      <c r="NR12" s="28"/>
      <c r="NS12" s="28"/>
      <c r="NT12" s="28"/>
      <c r="NU12" s="28"/>
      <c r="NV12" s="28"/>
      <c r="NW12" s="28"/>
      <c r="NX12" s="28"/>
      <c r="NY12" s="28"/>
      <c r="NZ12" s="28"/>
      <c r="OA12" s="28"/>
      <c r="OB12" s="28"/>
      <c r="OC12" s="28"/>
      <c r="OD12" s="28"/>
      <c r="OE12" s="28"/>
      <c r="OF12" s="28"/>
      <c r="OG12" s="28"/>
      <c r="OH12" s="28"/>
      <c r="OI12" s="28"/>
      <c r="OJ12" s="28"/>
      <c r="OK12" s="28"/>
      <c r="OL12" s="28"/>
      <c r="OM12" s="28"/>
      <c r="ON12" s="28"/>
      <c r="OO12" s="28"/>
      <c r="OP12" s="28"/>
      <c r="OQ12" s="28"/>
      <c r="OR12" s="28"/>
      <c r="OS12" s="28"/>
      <c r="OT12" s="28"/>
      <c r="OU12" s="28"/>
      <c r="OV12" s="28"/>
      <c r="OW12" s="28"/>
      <c r="OX12" s="28"/>
      <c r="OY12" s="28"/>
      <c r="OZ12" s="28"/>
      <c r="PA12" s="28"/>
      <c r="PB12" s="28"/>
      <c r="PC12" s="28"/>
      <c r="PD12" s="28"/>
      <c r="PE12" s="28"/>
      <c r="PF12" s="28"/>
      <c r="PG12" s="28"/>
      <c r="PH12" s="28"/>
      <c r="PI12" s="28"/>
      <c r="PJ12" s="28"/>
      <c r="PK12" s="28"/>
      <c r="PL12" s="28"/>
      <c r="PM12" s="28"/>
      <c r="PN12" s="28"/>
      <c r="PO12" s="28"/>
      <c r="PP12" s="28"/>
      <c r="PQ12" s="28"/>
      <c r="PR12" s="28"/>
      <c r="PS12" s="28"/>
      <c r="PT12" s="28"/>
      <c r="PU12" s="28"/>
      <c r="PV12" s="28"/>
      <c r="PW12" s="28"/>
      <c r="PX12" s="28"/>
      <c r="PY12" s="28"/>
      <c r="PZ12" s="28"/>
      <c r="QA12" s="28"/>
      <c r="QB12" s="28"/>
      <c r="QC12" s="28"/>
      <c r="QD12" s="28"/>
      <c r="QE12" s="28"/>
      <c r="QF12" s="28"/>
      <c r="QG12" s="28"/>
      <c r="QH12" s="28"/>
      <c r="QI12" s="28"/>
      <c r="QJ12" s="28"/>
      <c r="QK12" s="28"/>
      <c r="QL12" s="28"/>
      <c r="QM12" s="28"/>
      <c r="QN12" s="28"/>
      <c r="QO12" s="28"/>
      <c r="QP12" s="28"/>
      <c r="QQ12" s="28"/>
      <c r="QR12" s="28"/>
      <c r="QS12" s="28"/>
      <c r="QT12" s="28"/>
      <c r="QU12" s="28"/>
      <c r="QV12" s="28"/>
      <c r="QW12" s="28"/>
      <c r="QX12" s="28"/>
      <c r="QY12" s="28"/>
      <c r="QZ12" s="28"/>
      <c r="RA12" s="28"/>
      <c r="RB12" s="28"/>
      <c r="RC12" s="28"/>
      <c r="RD12" s="28"/>
      <c r="RE12" s="28"/>
      <c r="RF12" s="28"/>
      <c r="RG12" s="28"/>
      <c r="RH12" s="28"/>
      <c r="RI12" s="28"/>
      <c r="RJ12" s="28"/>
      <c r="RK12" s="28"/>
      <c r="RL12" s="28"/>
      <c r="RM12" s="28"/>
      <c r="RN12" s="28"/>
      <c r="RO12" s="28"/>
      <c r="RP12" s="28"/>
      <c r="RQ12" s="28"/>
    </row>
    <row r="13" spans="1:485" s="56" customFormat="1" x14ac:dyDescent="0.25">
      <c r="A13" s="31" t="s">
        <v>17</v>
      </c>
      <c r="B13" s="57">
        <v>45156</v>
      </c>
      <c r="C13" s="58">
        <v>0</v>
      </c>
      <c r="D13" s="59">
        <v>0</v>
      </c>
      <c r="E13" s="59">
        <v>0</v>
      </c>
      <c r="F13" s="59">
        <v>0</v>
      </c>
      <c r="G13" s="59">
        <v>0</v>
      </c>
      <c r="H13" s="59">
        <v>0</v>
      </c>
      <c r="I13" s="59">
        <v>0</v>
      </c>
      <c r="J13" s="59">
        <v>0</v>
      </c>
      <c r="K13" s="59">
        <v>0</v>
      </c>
      <c r="L13" s="59">
        <v>0</v>
      </c>
      <c r="M13" s="59">
        <v>0</v>
      </c>
      <c r="N13" s="59">
        <v>0</v>
      </c>
      <c r="O13" s="59">
        <v>0</v>
      </c>
      <c r="P13" s="59">
        <v>0</v>
      </c>
      <c r="Q13" s="59">
        <v>0</v>
      </c>
      <c r="R13" s="59">
        <v>0</v>
      </c>
      <c r="S13" s="60">
        <v>0</v>
      </c>
      <c r="T13" s="61">
        <v>0</v>
      </c>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KR13" s="28"/>
      <c r="KS13" s="28"/>
      <c r="KT13" s="28"/>
      <c r="KU13" s="28"/>
      <c r="KV13" s="28"/>
      <c r="KW13" s="28"/>
      <c r="KX13" s="28"/>
      <c r="KY13" s="28"/>
      <c r="KZ13" s="28"/>
      <c r="LA13" s="28"/>
      <c r="LB13" s="28"/>
      <c r="LC13" s="28"/>
      <c r="LD13" s="28"/>
      <c r="LE13" s="28"/>
      <c r="LF13" s="28"/>
      <c r="LG13" s="28"/>
      <c r="LH13" s="28"/>
      <c r="LI13" s="28"/>
      <c r="LJ13" s="28"/>
      <c r="LK13" s="28"/>
      <c r="LL13" s="28"/>
      <c r="LM13" s="28"/>
      <c r="LN13" s="28"/>
      <c r="LO13" s="28"/>
      <c r="LP13" s="28"/>
      <c r="LQ13" s="28"/>
      <c r="LR13" s="28"/>
      <c r="LS13" s="28"/>
      <c r="LT13" s="28"/>
      <c r="LU13" s="28"/>
      <c r="LV13" s="28"/>
      <c r="LW13" s="28"/>
      <c r="LX13" s="28"/>
      <c r="LY13" s="28"/>
      <c r="LZ13" s="28"/>
      <c r="MA13" s="28"/>
      <c r="MB13" s="28"/>
      <c r="MC13" s="28"/>
      <c r="MD13" s="28"/>
      <c r="ME13" s="28"/>
      <c r="MF13" s="28"/>
      <c r="MG13" s="28"/>
      <c r="MH13" s="28"/>
      <c r="MI13" s="28"/>
      <c r="MJ13" s="28"/>
      <c r="MK13" s="28"/>
      <c r="ML13" s="28"/>
      <c r="MM13" s="28"/>
      <c r="MN13" s="28"/>
      <c r="MO13" s="28"/>
      <c r="MP13" s="28"/>
      <c r="MQ13" s="28"/>
      <c r="MR13" s="28"/>
      <c r="MS13" s="28"/>
      <c r="MT13" s="28"/>
      <c r="MU13" s="28"/>
      <c r="MV13" s="28"/>
      <c r="MW13" s="28"/>
      <c r="MX13" s="28"/>
      <c r="MY13" s="28"/>
      <c r="MZ13" s="28"/>
      <c r="NA13" s="28"/>
      <c r="NB13" s="28"/>
      <c r="NC13" s="28"/>
      <c r="ND13" s="28"/>
      <c r="NE13" s="28"/>
      <c r="NF13" s="28"/>
      <c r="NG13" s="28"/>
      <c r="NH13" s="28"/>
      <c r="NI13" s="28"/>
      <c r="NJ13" s="28"/>
      <c r="NK13" s="28"/>
      <c r="NL13" s="28"/>
      <c r="NM13" s="28"/>
      <c r="NN13" s="28"/>
      <c r="NO13" s="28"/>
      <c r="NP13" s="28"/>
      <c r="NQ13" s="28"/>
      <c r="NR13" s="28"/>
      <c r="NS13" s="28"/>
      <c r="NT13" s="28"/>
      <c r="NU13" s="28"/>
      <c r="NV13" s="28"/>
      <c r="NW13" s="28"/>
      <c r="NX13" s="28"/>
      <c r="NY13" s="28"/>
      <c r="NZ13" s="28"/>
      <c r="OA13" s="28"/>
      <c r="OB13" s="28"/>
      <c r="OC13" s="28"/>
      <c r="OD13" s="28"/>
      <c r="OE13" s="28"/>
      <c r="OF13" s="28"/>
      <c r="OG13" s="28"/>
      <c r="OH13" s="28"/>
      <c r="OI13" s="28"/>
      <c r="OJ13" s="28"/>
      <c r="OK13" s="28"/>
      <c r="OL13" s="28"/>
      <c r="OM13" s="28"/>
      <c r="ON13" s="28"/>
      <c r="OO13" s="28"/>
      <c r="OP13" s="28"/>
      <c r="OQ13" s="28"/>
      <c r="OR13" s="28"/>
      <c r="OS13" s="28"/>
      <c r="OT13" s="28"/>
      <c r="OU13" s="28"/>
      <c r="OV13" s="28"/>
      <c r="OW13" s="28"/>
      <c r="OX13" s="28"/>
      <c r="OY13" s="28"/>
      <c r="OZ13" s="28"/>
      <c r="PA13" s="28"/>
      <c r="PB13" s="28"/>
      <c r="PC13" s="28"/>
      <c r="PD13" s="28"/>
      <c r="PE13" s="28"/>
      <c r="PF13" s="28"/>
      <c r="PG13" s="28"/>
      <c r="PH13" s="28"/>
      <c r="PI13" s="28"/>
      <c r="PJ13" s="28"/>
      <c r="PK13" s="28"/>
      <c r="PL13" s="28"/>
      <c r="PM13" s="28"/>
      <c r="PN13" s="28"/>
      <c r="PO13" s="28"/>
      <c r="PP13" s="28"/>
      <c r="PQ13" s="28"/>
      <c r="PR13" s="28"/>
      <c r="PS13" s="28"/>
      <c r="PT13" s="28"/>
      <c r="PU13" s="28"/>
      <c r="PV13" s="28"/>
      <c r="PW13" s="28"/>
      <c r="PX13" s="28"/>
      <c r="PY13" s="28"/>
      <c r="PZ13" s="28"/>
      <c r="QA13" s="28"/>
      <c r="QB13" s="28"/>
      <c r="QC13" s="28"/>
      <c r="QD13" s="28"/>
      <c r="QE13" s="28"/>
      <c r="QF13" s="28"/>
      <c r="QG13" s="28"/>
      <c r="QH13" s="28"/>
      <c r="QI13" s="28"/>
      <c r="QJ13" s="28"/>
      <c r="QK13" s="28"/>
      <c r="QL13" s="28"/>
      <c r="QM13" s="28"/>
      <c r="QN13" s="28"/>
      <c r="QO13" s="28"/>
      <c r="QP13" s="28"/>
      <c r="QQ13" s="28"/>
      <c r="QR13" s="28"/>
      <c r="QS13" s="28"/>
      <c r="QT13" s="28"/>
      <c r="QU13" s="28"/>
      <c r="QV13" s="28"/>
      <c r="QW13" s="28"/>
      <c r="QX13" s="28"/>
      <c r="QY13" s="28"/>
      <c r="QZ13" s="28"/>
      <c r="RA13" s="28"/>
      <c r="RB13" s="28"/>
      <c r="RC13" s="28"/>
      <c r="RD13" s="28"/>
      <c r="RE13" s="28"/>
      <c r="RF13" s="28"/>
      <c r="RG13" s="28"/>
      <c r="RH13" s="28"/>
      <c r="RI13" s="28"/>
      <c r="RJ13" s="28"/>
      <c r="RK13" s="28"/>
      <c r="RL13" s="28"/>
      <c r="RM13" s="28"/>
      <c r="RN13" s="28"/>
      <c r="RO13" s="28"/>
      <c r="RP13" s="28"/>
      <c r="RQ13" s="28"/>
    </row>
    <row r="14" spans="1:485" s="56" customFormat="1" x14ac:dyDescent="0.25">
      <c r="A14" s="31" t="s">
        <v>18</v>
      </c>
      <c r="B14" s="57">
        <v>45209</v>
      </c>
      <c r="C14" s="58">
        <v>16</v>
      </c>
      <c r="D14" s="149">
        <v>193.32</v>
      </c>
      <c r="E14" s="149">
        <v>305.94</v>
      </c>
      <c r="F14" s="149">
        <v>1055.67</v>
      </c>
      <c r="G14" s="149">
        <v>257.18</v>
      </c>
      <c r="H14" s="149">
        <v>134.18</v>
      </c>
      <c r="I14" s="149">
        <v>282.41000000000003</v>
      </c>
      <c r="J14" s="149">
        <v>9.14</v>
      </c>
      <c r="K14" s="149">
        <v>0</v>
      </c>
      <c r="L14" s="149"/>
      <c r="M14" s="149">
        <v>43.71</v>
      </c>
      <c r="N14" s="149">
        <v>0</v>
      </c>
      <c r="O14" s="149">
        <v>354.76</v>
      </c>
      <c r="P14" s="149">
        <v>80</v>
      </c>
      <c r="Q14" s="149">
        <v>428.72</v>
      </c>
      <c r="R14" s="149">
        <v>542.12</v>
      </c>
      <c r="S14" s="149">
        <v>511.06</v>
      </c>
      <c r="T14" s="150">
        <f>SUM(D14:S14)</f>
        <v>4198.2100000000009</v>
      </c>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KR14" s="28"/>
      <c r="KS14" s="28"/>
      <c r="KT14" s="28"/>
      <c r="KU14" s="28"/>
      <c r="KV14" s="28"/>
      <c r="KW14" s="28"/>
      <c r="KX14" s="28"/>
      <c r="KY14" s="28"/>
      <c r="KZ14" s="28"/>
      <c r="LA14" s="28"/>
      <c r="LB14" s="28"/>
      <c r="LC14" s="28"/>
      <c r="LD14" s="28"/>
      <c r="LE14" s="28"/>
      <c r="LF14" s="28"/>
      <c r="LG14" s="28"/>
      <c r="LH14" s="28"/>
      <c r="LI14" s="28"/>
      <c r="LJ14" s="28"/>
      <c r="LK14" s="28"/>
      <c r="LL14" s="28"/>
      <c r="LM14" s="28"/>
      <c r="LN14" s="28"/>
      <c r="LO14" s="28"/>
      <c r="LP14" s="28"/>
      <c r="LQ14" s="28"/>
      <c r="LR14" s="28"/>
      <c r="LS14" s="28"/>
      <c r="LT14" s="28"/>
      <c r="LU14" s="28"/>
      <c r="LV14" s="28"/>
      <c r="LW14" s="28"/>
      <c r="LX14" s="28"/>
      <c r="LY14" s="28"/>
      <c r="LZ14" s="28"/>
      <c r="MA14" s="28"/>
      <c r="MB14" s="28"/>
      <c r="MC14" s="28"/>
      <c r="MD14" s="28"/>
      <c r="ME14" s="28"/>
      <c r="MF14" s="28"/>
      <c r="MG14" s="28"/>
      <c r="MH14" s="28"/>
      <c r="MI14" s="28"/>
      <c r="MJ14" s="28"/>
      <c r="MK14" s="28"/>
      <c r="ML14" s="28"/>
      <c r="MM14" s="28"/>
      <c r="MN14" s="28"/>
      <c r="MO14" s="28"/>
      <c r="MP14" s="28"/>
      <c r="MQ14" s="28"/>
      <c r="MR14" s="28"/>
      <c r="MS14" s="28"/>
      <c r="MT14" s="28"/>
      <c r="MU14" s="28"/>
      <c r="MV14" s="28"/>
      <c r="MW14" s="28"/>
      <c r="MX14" s="28"/>
      <c r="MY14" s="28"/>
      <c r="MZ14" s="28"/>
      <c r="NA14" s="28"/>
      <c r="NB14" s="28"/>
      <c r="NC14" s="28"/>
      <c r="ND14" s="28"/>
      <c r="NE14" s="28"/>
      <c r="NF14" s="28"/>
      <c r="NG14" s="28"/>
      <c r="NH14" s="28"/>
      <c r="NI14" s="28"/>
      <c r="NJ14" s="28"/>
      <c r="NK14" s="28"/>
      <c r="NL14" s="28"/>
      <c r="NM14" s="28"/>
      <c r="NN14" s="28"/>
      <c r="NO14" s="28"/>
      <c r="NP14" s="28"/>
      <c r="NQ14" s="28"/>
      <c r="NR14" s="28"/>
      <c r="NS14" s="28"/>
      <c r="NT14" s="28"/>
      <c r="NU14" s="28"/>
      <c r="NV14" s="28"/>
      <c r="NW14" s="28"/>
      <c r="NX14" s="28"/>
      <c r="NY14" s="28"/>
      <c r="NZ14" s="28"/>
      <c r="OA14" s="28"/>
      <c r="OB14" s="28"/>
      <c r="OC14" s="28"/>
      <c r="OD14" s="28"/>
      <c r="OE14" s="28"/>
      <c r="OF14" s="28"/>
      <c r="OG14" s="28"/>
      <c r="OH14" s="28"/>
      <c r="OI14" s="28"/>
      <c r="OJ14" s="28"/>
      <c r="OK14" s="28"/>
      <c r="OL14" s="28"/>
      <c r="OM14" s="28"/>
      <c r="ON14" s="28"/>
      <c r="OO14" s="28"/>
      <c r="OP14" s="28"/>
      <c r="OQ14" s="28"/>
      <c r="OR14" s="28"/>
      <c r="OS14" s="28"/>
      <c r="OT14" s="28"/>
      <c r="OU14" s="28"/>
      <c r="OV14" s="28"/>
      <c r="OW14" s="28"/>
      <c r="OX14" s="28"/>
      <c r="OY14" s="28"/>
      <c r="OZ14" s="28"/>
      <c r="PA14" s="28"/>
      <c r="PB14" s="28"/>
      <c r="PC14" s="28"/>
      <c r="PD14" s="28"/>
      <c r="PE14" s="28"/>
      <c r="PF14" s="28"/>
      <c r="PG14" s="28"/>
      <c r="PH14" s="28"/>
      <c r="PI14" s="28"/>
      <c r="PJ14" s="28"/>
      <c r="PK14" s="28"/>
      <c r="PL14" s="28"/>
      <c r="PM14" s="28"/>
      <c r="PN14" s="28"/>
      <c r="PO14" s="28"/>
      <c r="PP14" s="28"/>
      <c r="PQ14" s="28"/>
      <c r="PR14" s="28"/>
      <c r="PS14" s="28"/>
      <c r="PT14" s="28"/>
      <c r="PU14" s="28"/>
      <c r="PV14" s="28"/>
      <c r="PW14" s="28"/>
      <c r="PX14" s="28"/>
      <c r="PY14" s="28"/>
      <c r="PZ14" s="28"/>
      <c r="QA14" s="28"/>
      <c r="QB14" s="28"/>
      <c r="QC14" s="28"/>
      <c r="QD14" s="28"/>
      <c r="QE14" s="28"/>
      <c r="QF14" s="28"/>
      <c r="QG14" s="28"/>
      <c r="QH14" s="28"/>
      <c r="QI14" s="28"/>
      <c r="QJ14" s="28"/>
      <c r="QK14" s="28"/>
      <c r="QL14" s="28"/>
      <c r="QM14" s="28"/>
      <c r="QN14" s="28"/>
      <c r="QO14" s="28"/>
      <c r="QP14" s="28"/>
      <c r="QQ14" s="28"/>
      <c r="QR14" s="28"/>
      <c r="QS14" s="28"/>
      <c r="QT14" s="28"/>
      <c r="QU14" s="28"/>
      <c r="QV14" s="28"/>
      <c r="QW14" s="28"/>
      <c r="QX14" s="28"/>
      <c r="QY14" s="28"/>
      <c r="QZ14" s="28"/>
      <c r="RA14" s="28"/>
      <c r="RB14" s="28"/>
      <c r="RC14" s="28"/>
      <c r="RD14" s="28"/>
      <c r="RE14" s="28"/>
      <c r="RF14" s="28"/>
      <c r="RG14" s="28"/>
      <c r="RH14" s="28"/>
      <c r="RI14" s="28"/>
      <c r="RJ14" s="28"/>
      <c r="RK14" s="28"/>
      <c r="RL14" s="28"/>
      <c r="RM14" s="28"/>
      <c r="RN14" s="28"/>
      <c r="RO14" s="28"/>
      <c r="RP14" s="28"/>
      <c r="RQ14" s="28"/>
    </row>
    <row r="15" spans="1:485" s="56" customFormat="1" x14ac:dyDescent="0.25">
      <c r="A15" s="31" t="s">
        <v>19</v>
      </c>
      <c r="B15" s="57">
        <v>45131</v>
      </c>
      <c r="C15" s="58">
        <v>58</v>
      </c>
      <c r="D15" s="59">
        <v>3544.55</v>
      </c>
      <c r="E15" s="59">
        <v>4616.46</v>
      </c>
      <c r="F15" s="59">
        <v>17307.43</v>
      </c>
      <c r="G15" s="59">
        <v>2311.6799999999998</v>
      </c>
      <c r="H15" s="59">
        <v>924.65</v>
      </c>
      <c r="I15" s="59">
        <v>1531.17</v>
      </c>
      <c r="J15" s="59">
        <v>0</v>
      </c>
      <c r="K15" s="59">
        <v>2024.4</v>
      </c>
      <c r="L15" s="59">
        <v>1390.27</v>
      </c>
      <c r="M15" s="59">
        <v>308.23</v>
      </c>
      <c r="N15" s="59">
        <v>0</v>
      </c>
      <c r="O15" s="59">
        <v>4428.41</v>
      </c>
      <c r="P15" s="59"/>
      <c r="Q15" s="59"/>
      <c r="R15" s="59">
        <v>6675.79</v>
      </c>
      <c r="S15" s="60">
        <v>4149.8599999999997</v>
      </c>
      <c r="T15" s="61">
        <f t="shared" ref="T15:T21" si="1">SUM(D15:S15)</f>
        <v>49212.9</v>
      </c>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KR15" s="28"/>
      <c r="KS15" s="28"/>
      <c r="KT15" s="28"/>
      <c r="KU15" s="28"/>
      <c r="KV15" s="28"/>
      <c r="KW15" s="28"/>
      <c r="KX15" s="28"/>
      <c r="KY15" s="28"/>
      <c r="KZ15" s="28"/>
      <c r="LA15" s="28"/>
      <c r="LB15" s="28"/>
      <c r="LC15" s="28"/>
      <c r="LD15" s="28"/>
      <c r="LE15" s="28"/>
      <c r="LF15" s="28"/>
      <c r="LG15" s="28"/>
      <c r="LH15" s="28"/>
      <c r="LI15" s="28"/>
      <c r="LJ15" s="28"/>
      <c r="LK15" s="28"/>
      <c r="LL15" s="28"/>
      <c r="LM15" s="28"/>
      <c r="LN15" s="28"/>
      <c r="LO15" s="28"/>
      <c r="LP15" s="28"/>
      <c r="LQ15" s="28"/>
      <c r="LR15" s="28"/>
      <c r="LS15" s="28"/>
      <c r="LT15" s="28"/>
      <c r="LU15" s="28"/>
      <c r="LV15" s="28"/>
      <c r="LW15" s="28"/>
      <c r="LX15" s="28"/>
      <c r="LY15" s="28"/>
      <c r="LZ15" s="28"/>
      <c r="MA15" s="28"/>
      <c r="MB15" s="28"/>
      <c r="MC15" s="28"/>
      <c r="MD15" s="28"/>
      <c r="ME15" s="28"/>
      <c r="MF15" s="28"/>
      <c r="MG15" s="28"/>
      <c r="MH15" s="28"/>
      <c r="MI15" s="28"/>
      <c r="MJ15" s="28"/>
      <c r="MK15" s="28"/>
      <c r="ML15" s="28"/>
      <c r="MM15" s="28"/>
      <c r="MN15" s="28"/>
      <c r="MO15" s="28"/>
      <c r="MP15" s="28"/>
      <c r="MQ15" s="28"/>
      <c r="MR15" s="28"/>
      <c r="MS15" s="28"/>
      <c r="MT15" s="28"/>
      <c r="MU15" s="28"/>
      <c r="MV15" s="28"/>
      <c r="MW15" s="28"/>
      <c r="MX15" s="28"/>
      <c r="MY15" s="28"/>
      <c r="MZ15" s="28"/>
      <c r="NA15" s="28"/>
      <c r="NB15" s="28"/>
      <c r="NC15" s="28"/>
      <c r="ND15" s="28"/>
      <c r="NE15" s="28"/>
      <c r="NF15" s="28"/>
      <c r="NG15" s="28"/>
      <c r="NH15" s="28"/>
      <c r="NI15" s="28"/>
      <c r="NJ15" s="28"/>
      <c r="NK15" s="28"/>
      <c r="NL15" s="28"/>
      <c r="NM15" s="28"/>
      <c r="NN15" s="28"/>
      <c r="NO15" s="28"/>
      <c r="NP15" s="28"/>
      <c r="NQ15" s="28"/>
      <c r="NR15" s="28"/>
      <c r="NS15" s="28"/>
      <c r="NT15" s="28"/>
      <c r="NU15" s="28"/>
      <c r="NV15" s="28"/>
      <c r="NW15" s="28"/>
      <c r="NX15" s="28"/>
      <c r="NY15" s="28"/>
      <c r="NZ15" s="28"/>
      <c r="OA15" s="28"/>
      <c r="OB15" s="28"/>
      <c r="OC15" s="28"/>
      <c r="OD15" s="28"/>
      <c r="OE15" s="28"/>
      <c r="OF15" s="28"/>
      <c r="OG15" s="28"/>
      <c r="OH15" s="28"/>
      <c r="OI15" s="28"/>
      <c r="OJ15" s="28"/>
      <c r="OK15" s="28"/>
      <c r="OL15" s="28"/>
      <c r="OM15" s="28"/>
      <c r="ON15" s="28"/>
      <c r="OO15" s="28"/>
      <c r="OP15" s="28"/>
      <c r="OQ15" s="28"/>
      <c r="OR15" s="28"/>
      <c r="OS15" s="28"/>
      <c r="OT15" s="28"/>
      <c r="OU15" s="28"/>
      <c r="OV15" s="28"/>
      <c r="OW15" s="28"/>
      <c r="OX15" s="28"/>
      <c r="OY15" s="28"/>
      <c r="OZ15" s="28"/>
      <c r="PA15" s="28"/>
      <c r="PB15" s="28"/>
      <c r="PC15" s="28"/>
      <c r="PD15" s="28"/>
      <c r="PE15" s="28"/>
      <c r="PF15" s="28"/>
      <c r="PG15" s="28"/>
      <c r="PH15" s="28"/>
      <c r="PI15" s="28"/>
      <c r="PJ15" s="28"/>
      <c r="PK15" s="28"/>
      <c r="PL15" s="28"/>
      <c r="PM15" s="28"/>
      <c r="PN15" s="28"/>
      <c r="PO15" s="28"/>
      <c r="PP15" s="28"/>
      <c r="PQ15" s="28"/>
      <c r="PR15" s="28"/>
      <c r="PS15" s="28"/>
      <c r="PT15" s="28"/>
      <c r="PU15" s="28"/>
      <c r="PV15" s="28"/>
      <c r="PW15" s="28"/>
      <c r="PX15" s="28"/>
      <c r="PY15" s="28"/>
      <c r="PZ15" s="28"/>
      <c r="QA15" s="28"/>
      <c r="QB15" s="28"/>
      <c r="QC15" s="28"/>
      <c r="QD15" s="28"/>
      <c r="QE15" s="28"/>
      <c r="QF15" s="28"/>
      <c r="QG15" s="28"/>
      <c r="QH15" s="28"/>
      <c r="QI15" s="28"/>
      <c r="QJ15" s="28"/>
      <c r="QK15" s="28"/>
      <c r="QL15" s="28"/>
      <c r="QM15" s="28"/>
      <c r="QN15" s="28"/>
      <c r="QO15" s="28"/>
      <c r="QP15" s="28"/>
      <c r="QQ15" s="28"/>
      <c r="QR15" s="28"/>
      <c r="QS15" s="28"/>
      <c r="QT15" s="28"/>
      <c r="QU15" s="28"/>
      <c r="QV15" s="28"/>
      <c r="QW15" s="28"/>
      <c r="QX15" s="28"/>
      <c r="QY15" s="28"/>
      <c r="QZ15" s="28"/>
      <c r="RA15" s="28"/>
      <c r="RB15" s="28"/>
      <c r="RC15" s="28"/>
      <c r="RD15" s="28"/>
      <c r="RE15" s="28"/>
      <c r="RF15" s="28"/>
      <c r="RG15" s="28"/>
      <c r="RH15" s="28"/>
      <c r="RI15" s="28"/>
      <c r="RJ15" s="28"/>
      <c r="RK15" s="28"/>
      <c r="RL15" s="28"/>
      <c r="RM15" s="28"/>
      <c r="RN15" s="28"/>
      <c r="RO15" s="28"/>
      <c r="RP15" s="28"/>
      <c r="RQ15" s="28"/>
    </row>
    <row r="16" spans="1:485" s="56" customFormat="1" x14ac:dyDescent="0.25">
      <c r="A16" s="31" t="s">
        <v>20</v>
      </c>
      <c r="B16" s="57">
        <v>45127</v>
      </c>
      <c r="C16" s="58">
        <v>158</v>
      </c>
      <c r="D16" s="59">
        <v>18555.759999999998</v>
      </c>
      <c r="E16" s="59">
        <v>15005.88</v>
      </c>
      <c r="F16" s="59">
        <v>121176.81</v>
      </c>
      <c r="G16" s="59">
        <v>9681.27</v>
      </c>
      <c r="H16" s="59">
        <v>3872.49</v>
      </c>
      <c r="I16" s="59">
        <v>1452.14</v>
      </c>
      <c r="J16" s="59">
        <v>0</v>
      </c>
      <c r="K16" s="59">
        <v>17940.37</v>
      </c>
      <c r="L16" s="59">
        <v>3077.2</v>
      </c>
      <c r="M16" s="59">
        <v>1.02</v>
      </c>
      <c r="N16" s="59">
        <v>0</v>
      </c>
      <c r="O16" s="59">
        <v>26528.13</v>
      </c>
      <c r="P16" s="59">
        <v>2054</v>
      </c>
      <c r="Q16" s="59">
        <v>28530.94</v>
      </c>
      <c r="R16" s="59">
        <v>44016.78</v>
      </c>
      <c r="S16" s="60">
        <v>24299.4</v>
      </c>
      <c r="T16" s="61">
        <f t="shared" si="1"/>
        <v>316192.19000000006</v>
      </c>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KR16" s="28"/>
      <c r="KS16" s="28"/>
      <c r="KT16" s="28"/>
      <c r="KU16" s="28"/>
      <c r="KV16" s="28"/>
      <c r="KW16" s="28"/>
      <c r="KX16" s="28"/>
      <c r="KY16" s="28"/>
      <c r="KZ16" s="28"/>
      <c r="LA16" s="28"/>
      <c r="LB16" s="28"/>
      <c r="LC16" s="28"/>
      <c r="LD16" s="28"/>
      <c r="LE16" s="28"/>
      <c r="LF16" s="28"/>
      <c r="LG16" s="28"/>
      <c r="LH16" s="28"/>
      <c r="LI16" s="28"/>
      <c r="LJ16" s="28"/>
      <c r="LK16" s="28"/>
      <c r="LL16" s="28"/>
      <c r="LM16" s="28"/>
      <c r="LN16" s="28"/>
      <c r="LO16" s="28"/>
      <c r="LP16" s="28"/>
      <c r="LQ16" s="28"/>
      <c r="LR16" s="28"/>
      <c r="LS16" s="28"/>
      <c r="LT16" s="28"/>
      <c r="LU16" s="28"/>
      <c r="LV16" s="28"/>
      <c r="LW16" s="28"/>
      <c r="LX16" s="28"/>
      <c r="LY16" s="28"/>
      <c r="LZ16" s="28"/>
      <c r="MA16" s="28"/>
      <c r="MB16" s="28"/>
      <c r="MC16" s="28"/>
      <c r="MD16" s="28"/>
      <c r="ME16" s="28"/>
      <c r="MF16" s="28"/>
      <c r="MG16" s="28"/>
      <c r="MH16" s="28"/>
      <c r="MI16" s="28"/>
      <c r="MJ16" s="28"/>
      <c r="MK16" s="28"/>
      <c r="ML16" s="28"/>
      <c r="MM16" s="28"/>
      <c r="MN16" s="28"/>
      <c r="MO16" s="28"/>
      <c r="MP16" s="28"/>
      <c r="MQ16" s="28"/>
      <c r="MR16" s="28"/>
      <c r="MS16" s="28"/>
      <c r="MT16" s="28"/>
      <c r="MU16" s="28"/>
      <c r="MV16" s="28"/>
      <c r="MW16" s="28"/>
      <c r="MX16" s="28"/>
      <c r="MY16" s="28"/>
      <c r="MZ16" s="28"/>
      <c r="NA16" s="28"/>
      <c r="NB16" s="28"/>
      <c r="NC16" s="28"/>
      <c r="ND16" s="28"/>
      <c r="NE16" s="28"/>
      <c r="NF16" s="28"/>
      <c r="NG16" s="28"/>
      <c r="NH16" s="28"/>
      <c r="NI16" s="28"/>
      <c r="NJ16" s="28"/>
      <c r="NK16" s="28"/>
      <c r="NL16" s="28"/>
      <c r="NM16" s="28"/>
      <c r="NN16" s="28"/>
      <c r="NO16" s="28"/>
      <c r="NP16" s="28"/>
      <c r="NQ16" s="28"/>
      <c r="NR16" s="28"/>
      <c r="NS16" s="28"/>
      <c r="NT16" s="28"/>
      <c r="NU16" s="28"/>
      <c r="NV16" s="28"/>
      <c r="NW16" s="28"/>
      <c r="NX16" s="28"/>
      <c r="NY16" s="28"/>
      <c r="NZ16" s="28"/>
      <c r="OA16" s="28"/>
      <c r="OB16" s="28"/>
      <c r="OC16" s="28"/>
      <c r="OD16" s="28"/>
      <c r="OE16" s="28"/>
      <c r="OF16" s="28"/>
      <c r="OG16" s="28"/>
      <c r="OH16" s="28"/>
      <c r="OI16" s="28"/>
      <c r="OJ16" s="28"/>
      <c r="OK16" s="28"/>
      <c r="OL16" s="28"/>
      <c r="OM16" s="28"/>
      <c r="ON16" s="28"/>
      <c r="OO16" s="28"/>
      <c r="OP16" s="28"/>
      <c r="OQ16" s="28"/>
      <c r="OR16" s="28"/>
      <c r="OS16" s="28"/>
      <c r="OT16" s="28"/>
      <c r="OU16" s="28"/>
      <c r="OV16" s="28"/>
      <c r="OW16" s="28"/>
      <c r="OX16" s="28"/>
      <c r="OY16" s="28"/>
      <c r="OZ16" s="28"/>
      <c r="PA16" s="28"/>
      <c r="PB16" s="28"/>
      <c r="PC16" s="28"/>
      <c r="PD16" s="28"/>
      <c r="PE16" s="28"/>
      <c r="PF16" s="28"/>
      <c r="PG16" s="28"/>
      <c r="PH16" s="28"/>
      <c r="PI16" s="28"/>
      <c r="PJ16" s="28"/>
      <c r="PK16" s="28"/>
      <c r="PL16" s="28"/>
      <c r="PM16" s="28"/>
      <c r="PN16" s="28"/>
      <c r="PO16" s="28"/>
      <c r="PP16" s="28"/>
      <c r="PQ16" s="28"/>
      <c r="PR16" s="28"/>
      <c r="PS16" s="28"/>
      <c r="PT16" s="28"/>
      <c r="PU16" s="28"/>
      <c r="PV16" s="28"/>
      <c r="PW16" s="28"/>
      <c r="PX16" s="28"/>
      <c r="PY16" s="28"/>
      <c r="PZ16" s="28"/>
      <c r="QA16" s="28"/>
      <c r="QB16" s="28"/>
      <c r="QC16" s="28"/>
      <c r="QD16" s="28"/>
      <c r="QE16" s="28"/>
      <c r="QF16" s="28"/>
      <c r="QG16" s="28"/>
      <c r="QH16" s="28"/>
      <c r="QI16" s="28"/>
      <c r="QJ16" s="28"/>
      <c r="QK16" s="28"/>
      <c r="QL16" s="28"/>
      <c r="QM16" s="28"/>
      <c r="QN16" s="28"/>
      <c r="QO16" s="28"/>
      <c r="QP16" s="28"/>
      <c r="QQ16" s="28"/>
      <c r="QR16" s="28"/>
      <c r="QS16" s="28"/>
      <c r="QT16" s="28"/>
      <c r="QU16" s="28"/>
      <c r="QV16" s="28"/>
      <c r="QW16" s="28"/>
      <c r="QX16" s="28"/>
      <c r="QY16" s="28"/>
      <c r="QZ16" s="28"/>
      <c r="RA16" s="28"/>
      <c r="RB16" s="28"/>
      <c r="RC16" s="28"/>
      <c r="RD16" s="28"/>
      <c r="RE16" s="28"/>
      <c r="RF16" s="28"/>
      <c r="RG16" s="28"/>
      <c r="RH16" s="28"/>
      <c r="RI16" s="28"/>
      <c r="RJ16" s="28"/>
      <c r="RK16" s="28"/>
      <c r="RL16" s="28"/>
      <c r="RM16" s="28"/>
      <c r="RN16" s="28"/>
      <c r="RO16" s="28"/>
      <c r="RP16" s="28"/>
      <c r="RQ16" s="28"/>
    </row>
    <row r="17" spans="1:485" s="56" customFormat="1" x14ac:dyDescent="0.25">
      <c r="A17" s="31" t="s">
        <v>21</v>
      </c>
      <c r="B17" s="57">
        <v>45197</v>
      </c>
      <c r="C17" s="58">
        <v>39</v>
      </c>
      <c r="D17" s="59">
        <v>1590.2</v>
      </c>
      <c r="E17" s="59">
        <v>1076.5999999999999</v>
      </c>
      <c r="F17" s="59">
        <v>5724.8</v>
      </c>
      <c r="G17" s="59">
        <v>1050.92</v>
      </c>
      <c r="H17" s="59">
        <v>345.77</v>
      </c>
      <c r="I17" s="59">
        <v>995.6</v>
      </c>
      <c r="J17" s="59"/>
      <c r="K17" s="59">
        <v>934.48</v>
      </c>
      <c r="L17" s="59">
        <v>1075.55</v>
      </c>
      <c r="M17" s="59">
        <v>173.39</v>
      </c>
      <c r="N17" s="59">
        <v>216.88</v>
      </c>
      <c r="O17" s="59">
        <v>2034.55</v>
      </c>
      <c r="P17" s="59">
        <v>0</v>
      </c>
      <c r="Q17" s="59">
        <v>2132.1</v>
      </c>
      <c r="R17" s="59">
        <v>3124.71</v>
      </c>
      <c r="S17" s="60">
        <v>1913.36</v>
      </c>
      <c r="T17" s="61">
        <f t="shared" si="1"/>
        <v>22388.909999999996</v>
      </c>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8"/>
      <c r="NF17" s="28"/>
      <c r="NG17" s="28"/>
      <c r="NH17" s="28"/>
      <c r="NI17" s="28"/>
      <c r="NJ17" s="28"/>
      <c r="NK17" s="28"/>
      <c r="NL17" s="28"/>
      <c r="NM17" s="28"/>
      <c r="NN17" s="28"/>
      <c r="NO17" s="28"/>
      <c r="NP17" s="28"/>
      <c r="NQ17" s="28"/>
      <c r="NR17" s="28"/>
      <c r="NS17" s="28"/>
      <c r="NT17" s="28"/>
      <c r="NU17" s="28"/>
      <c r="NV17" s="28"/>
      <c r="NW17" s="28"/>
      <c r="NX17" s="28"/>
      <c r="NY17" s="28"/>
      <c r="NZ17" s="28"/>
      <c r="OA17" s="28"/>
      <c r="OB17" s="28"/>
      <c r="OC17" s="28"/>
      <c r="OD17" s="28"/>
      <c r="OE17" s="28"/>
      <c r="OF17" s="28"/>
      <c r="OG17" s="28"/>
      <c r="OH17" s="28"/>
      <c r="OI17" s="28"/>
      <c r="OJ17" s="28"/>
      <c r="OK17" s="28"/>
      <c r="OL17" s="28"/>
      <c r="OM17" s="28"/>
      <c r="ON17" s="28"/>
      <c r="OO17" s="28"/>
      <c r="OP17" s="28"/>
      <c r="OQ17" s="28"/>
      <c r="OR17" s="28"/>
      <c r="OS17" s="28"/>
      <c r="OT17" s="28"/>
      <c r="OU17" s="28"/>
      <c r="OV17" s="28"/>
      <c r="OW17" s="28"/>
      <c r="OX17" s="28"/>
      <c r="OY17" s="28"/>
      <c r="OZ17" s="28"/>
      <c r="PA17" s="28"/>
      <c r="PB17" s="28"/>
      <c r="PC17" s="28"/>
      <c r="PD17" s="28"/>
      <c r="PE17" s="28"/>
      <c r="PF17" s="28"/>
      <c r="PG17" s="28"/>
      <c r="PH17" s="28"/>
      <c r="PI17" s="28"/>
      <c r="PJ17" s="28"/>
      <c r="PK17" s="28"/>
      <c r="PL17" s="28"/>
      <c r="PM17" s="28"/>
      <c r="PN17" s="28"/>
      <c r="PO17" s="28"/>
      <c r="PP17" s="28"/>
      <c r="PQ17" s="28"/>
      <c r="PR17" s="28"/>
      <c r="PS17" s="28"/>
      <c r="PT17" s="28"/>
      <c r="PU17" s="28"/>
      <c r="PV17" s="28"/>
      <c r="PW17" s="28"/>
      <c r="PX17" s="28"/>
      <c r="PY17" s="28"/>
      <c r="PZ17" s="28"/>
      <c r="QA17" s="28"/>
      <c r="QB17" s="28"/>
      <c r="QC17" s="28"/>
      <c r="QD17" s="28"/>
      <c r="QE17" s="28"/>
      <c r="QF17" s="28"/>
      <c r="QG17" s="28"/>
      <c r="QH17" s="28"/>
      <c r="QI17" s="28"/>
      <c r="QJ17" s="28"/>
      <c r="QK17" s="28"/>
      <c r="QL17" s="28"/>
      <c r="QM17" s="28"/>
      <c r="QN17" s="28"/>
      <c r="QO17" s="28"/>
      <c r="QP17" s="28"/>
      <c r="QQ17" s="28"/>
      <c r="QR17" s="28"/>
      <c r="QS17" s="28"/>
      <c r="QT17" s="28"/>
      <c r="QU17" s="28"/>
      <c r="QV17" s="28"/>
      <c r="QW17" s="28"/>
      <c r="QX17" s="28"/>
      <c r="QY17" s="28"/>
      <c r="QZ17" s="28"/>
      <c r="RA17" s="28"/>
      <c r="RB17" s="28"/>
      <c r="RC17" s="28"/>
      <c r="RD17" s="28"/>
      <c r="RE17" s="28"/>
      <c r="RF17" s="28"/>
      <c r="RG17" s="28"/>
      <c r="RH17" s="28"/>
      <c r="RI17" s="28"/>
      <c r="RJ17" s="28"/>
      <c r="RK17" s="28"/>
      <c r="RL17" s="28"/>
      <c r="RM17" s="28"/>
      <c r="RN17" s="28"/>
      <c r="RO17" s="28"/>
      <c r="RP17" s="28"/>
      <c r="RQ17" s="28"/>
    </row>
    <row r="18" spans="1:485" x14ac:dyDescent="0.25">
      <c r="A18" s="31" t="s">
        <v>22</v>
      </c>
      <c r="B18" s="57">
        <v>45146</v>
      </c>
      <c r="C18" s="58">
        <v>44</v>
      </c>
      <c r="D18" s="59">
        <v>4276.01</v>
      </c>
      <c r="E18" s="59">
        <v>3632.79</v>
      </c>
      <c r="F18" s="59">
        <v>16181.52</v>
      </c>
      <c r="G18" s="59">
        <v>2292.75</v>
      </c>
      <c r="H18" s="59">
        <v>1814.06</v>
      </c>
      <c r="I18" s="59">
        <v>1709.61</v>
      </c>
      <c r="J18" s="59"/>
      <c r="K18" s="59">
        <v>0.6</v>
      </c>
      <c r="L18" s="59">
        <v>2627.35</v>
      </c>
      <c r="M18" s="59">
        <v>26.49</v>
      </c>
      <c r="N18" s="59">
        <v>4711.53</v>
      </c>
      <c r="O18" s="59">
        <v>2104.0500000000002</v>
      </c>
      <c r="P18" s="59">
        <v>264</v>
      </c>
      <c r="Q18" s="59">
        <v>6997.46</v>
      </c>
      <c r="R18" s="59" t="s">
        <v>323</v>
      </c>
      <c r="S18" s="60" t="s">
        <v>172</v>
      </c>
      <c r="T18" s="61">
        <f t="shared" si="1"/>
        <v>46638.22</v>
      </c>
    </row>
    <row r="19" spans="1:485" s="56" customFormat="1" x14ac:dyDescent="0.25">
      <c r="A19" s="31" t="s">
        <v>23</v>
      </c>
      <c r="B19" s="57">
        <v>45146</v>
      </c>
      <c r="C19" s="58">
        <v>127</v>
      </c>
      <c r="D19" s="59">
        <v>12161.51</v>
      </c>
      <c r="E19" s="59">
        <v>17345.09</v>
      </c>
      <c r="F19" s="59">
        <v>34901.4</v>
      </c>
      <c r="G19" s="59">
        <v>5816.48</v>
      </c>
      <c r="H19" s="59">
        <v>2961.02</v>
      </c>
      <c r="I19" s="59">
        <v>1797.92</v>
      </c>
      <c r="J19" s="59">
        <v>0</v>
      </c>
      <c r="K19" s="59">
        <v>4455.75</v>
      </c>
      <c r="L19" s="59"/>
      <c r="M19" s="59">
        <v>528.94000000000005</v>
      </c>
      <c r="N19" s="59">
        <v>0</v>
      </c>
      <c r="O19" s="59">
        <v>9893</v>
      </c>
      <c r="P19" s="59">
        <v>254</v>
      </c>
      <c r="Q19" s="59">
        <v>0</v>
      </c>
      <c r="R19" s="59">
        <v>15485.73</v>
      </c>
      <c r="S19" s="60">
        <v>9648.32</v>
      </c>
      <c r="T19" s="61">
        <f t="shared" si="1"/>
        <v>115249.16</v>
      </c>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KR19" s="28"/>
      <c r="KS19" s="28"/>
      <c r="KT19" s="28"/>
      <c r="KU19" s="28"/>
      <c r="KV19" s="28"/>
      <c r="KW19" s="28"/>
      <c r="KX19" s="28"/>
      <c r="KY19" s="28"/>
      <c r="KZ19" s="28"/>
      <c r="LA19" s="28"/>
      <c r="LB19" s="28"/>
      <c r="LC19" s="28"/>
      <c r="LD19" s="28"/>
      <c r="LE19" s="28"/>
      <c r="LF19" s="28"/>
      <c r="LG19" s="28"/>
      <c r="LH19" s="28"/>
      <c r="LI19" s="28"/>
      <c r="LJ19" s="28"/>
      <c r="LK19" s="28"/>
      <c r="LL19" s="28"/>
      <c r="LM19" s="28"/>
      <c r="LN19" s="28"/>
      <c r="LO19" s="28"/>
      <c r="LP19" s="28"/>
      <c r="LQ19" s="28"/>
      <c r="LR19" s="28"/>
      <c r="LS19" s="28"/>
      <c r="LT19" s="28"/>
      <c r="LU19" s="28"/>
      <c r="LV19" s="28"/>
      <c r="LW19" s="28"/>
      <c r="LX19" s="28"/>
      <c r="LY19" s="28"/>
      <c r="LZ19" s="28"/>
      <c r="MA19" s="28"/>
      <c r="MB19" s="28"/>
      <c r="MC19" s="28"/>
      <c r="MD19" s="28"/>
      <c r="ME19" s="28"/>
      <c r="MF19" s="28"/>
      <c r="MG19" s="28"/>
      <c r="MH19" s="28"/>
      <c r="MI19" s="28"/>
      <c r="MJ19" s="28"/>
      <c r="MK19" s="28"/>
      <c r="ML19" s="28"/>
      <c r="MM19" s="28"/>
      <c r="MN19" s="28"/>
      <c r="MO19" s="28"/>
      <c r="MP19" s="28"/>
      <c r="MQ19" s="28"/>
      <c r="MR19" s="28"/>
      <c r="MS19" s="28"/>
      <c r="MT19" s="28"/>
      <c r="MU19" s="28"/>
      <c r="MV19" s="28"/>
      <c r="MW19" s="28"/>
      <c r="MX19" s="28"/>
      <c r="MY19" s="28"/>
      <c r="MZ19" s="28"/>
      <c r="NA19" s="28"/>
      <c r="NB19" s="28"/>
      <c r="NC19" s="28"/>
      <c r="ND19" s="28"/>
      <c r="NE19" s="28"/>
      <c r="NF19" s="28"/>
      <c r="NG19" s="28"/>
      <c r="NH19" s="28"/>
      <c r="NI19" s="28"/>
      <c r="NJ19" s="28"/>
      <c r="NK19" s="28"/>
      <c r="NL19" s="28"/>
      <c r="NM19" s="28"/>
      <c r="NN19" s="28"/>
      <c r="NO19" s="28"/>
      <c r="NP19" s="28"/>
      <c r="NQ19" s="28"/>
      <c r="NR19" s="28"/>
      <c r="NS19" s="28"/>
      <c r="NT19" s="28"/>
      <c r="NU19" s="28"/>
      <c r="NV19" s="28"/>
      <c r="NW19" s="28"/>
      <c r="NX19" s="28"/>
      <c r="NY19" s="28"/>
      <c r="NZ19" s="28"/>
      <c r="OA19" s="28"/>
      <c r="OB19" s="28"/>
      <c r="OC19" s="28"/>
      <c r="OD19" s="28"/>
      <c r="OE19" s="28"/>
      <c r="OF19" s="28"/>
      <c r="OG19" s="28"/>
      <c r="OH19" s="28"/>
      <c r="OI19" s="28"/>
      <c r="OJ19" s="28"/>
      <c r="OK19" s="28"/>
      <c r="OL19" s="28"/>
      <c r="OM19" s="28"/>
      <c r="ON19" s="28"/>
      <c r="OO19" s="28"/>
      <c r="OP19" s="28"/>
      <c r="OQ19" s="28"/>
      <c r="OR19" s="28"/>
      <c r="OS19" s="28"/>
      <c r="OT19" s="28"/>
      <c r="OU19" s="28"/>
      <c r="OV19" s="28"/>
      <c r="OW19" s="28"/>
      <c r="OX19" s="28"/>
      <c r="OY19" s="28"/>
      <c r="OZ19" s="28"/>
      <c r="PA19" s="28"/>
      <c r="PB19" s="28"/>
      <c r="PC19" s="28"/>
      <c r="PD19" s="28"/>
      <c r="PE19" s="28"/>
      <c r="PF19" s="28"/>
      <c r="PG19" s="28"/>
      <c r="PH19" s="28"/>
      <c r="PI19" s="28"/>
      <c r="PJ19" s="28"/>
      <c r="PK19" s="28"/>
      <c r="PL19" s="28"/>
      <c r="PM19" s="28"/>
      <c r="PN19" s="28"/>
      <c r="PO19" s="28"/>
      <c r="PP19" s="28"/>
      <c r="PQ19" s="28"/>
      <c r="PR19" s="28"/>
      <c r="PS19" s="28"/>
      <c r="PT19" s="28"/>
      <c r="PU19" s="28"/>
      <c r="PV19" s="28"/>
      <c r="PW19" s="28"/>
      <c r="PX19" s="28"/>
      <c r="PY19" s="28"/>
      <c r="PZ19" s="28"/>
      <c r="QA19" s="28"/>
      <c r="QB19" s="28"/>
      <c r="QC19" s="28"/>
      <c r="QD19" s="28"/>
      <c r="QE19" s="28"/>
      <c r="QF19" s="28"/>
      <c r="QG19" s="28"/>
      <c r="QH19" s="28"/>
      <c r="QI19" s="28"/>
      <c r="QJ19" s="28"/>
      <c r="QK19" s="28"/>
      <c r="QL19" s="28"/>
      <c r="QM19" s="28"/>
      <c r="QN19" s="28"/>
      <c r="QO19" s="28"/>
      <c r="QP19" s="28"/>
      <c r="QQ19" s="28"/>
      <c r="QR19" s="28"/>
      <c r="QS19" s="28"/>
      <c r="QT19" s="28"/>
      <c r="QU19" s="28"/>
      <c r="QV19" s="28"/>
      <c r="QW19" s="28"/>
      <c r="QX19" s="28"/>
      <c r="QY19" s="28"/>
      <c r="QZ19" s="28"/>
      <c r="RA19" s="28"/>
      <c r="RB19" s="28"/>
      <c r="RC19" s="28"/>
      <c r="RD19" s="28"/>
      <c r="RE19" s="28"/>
      <c r="RF19" s="28"/>
      <c r="RG19" s="28"/>
      <c r="RH19" s="28"/>
      <c r="RI19" s="28"/>
      <c r="RJ19" s="28"/>
      <c r="RK19" s="28"/>
      <c r="RL19" s="28"/>
      <c r="RM19" s="28"/>
      <c r="RN19" s="28"/>
      <c r="RO19" s="28"/>
      <c r="RP19" s="28"/>
      <c r="RQ19" s="28"/>
    </row>
    <row r="20" spans="1:485" s="56" customFormat="1" x14ac:dyDescent="0.25">
      <c r="A20" s="31" t="s">
        <v>24</v>
      </c>
      <c r="B20" s="57">
        <v>45147</v>
      </c>
      <c r="C20" s="58">
        <v>161</v>
      </c>
      <c r="D20" s="59">
        <v>18975.509999999998</v>
      </c>
      <c r="E20" s="59">
        <v>28216.37</v>
      </c>
      <c r="F20" s="59">
        <v>112848.87</v>
      </c>
      <c r="G20" s="59">
        <v>11715.58</v>
      </c>
      <c r="H20" s="59">
        <v>3960</v>
      </c>
      <c r="I20" s="59">
        <v>3465.12</v>
      </c>
      <c r="J20" s="59">
        <v>0</v>
      </c>
      <c r="K20" s="59">
        <v>7578.3</v>
      </c>
      <c r="L20" s="59"/>
      <c r="M20" s="59">
        <v>495</v>
      </c>
      <c r="N20" s="59">
        <v>0</v>
      </c>
      <c r="O20" s="59">
        <v>25667.81</v>
      </c>
      <c r="P20" s="59">
        <v>4830</v>
      </c>
      <c r="Q20" s="59">
        <v>30307.919999999998</v>
      </c>
      <c r="R20" s="59">
        <v>43834.68</v>
      </c>
      <c r="S20" s="60">
        <v>24171.34</v>
      </c>
      <c r="T20" s="61">
        <f t="shared" si="1"/>
        <v>316066.5</v>
      </c>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KR20" s="28"/>
      <c r="KS20" s="28"/>
      <c r="KT20" s="28"/>
      <c r="KU20" s="28"/>
      <c r="KV20" s="28"/>
      <c r="KW20" s="28"/>
      <c r="KX20" s="28"/>
      <c r="KY20" s="28"/>
      <c r="KZ20" s="28"/>
      <c r="LA20" s="28"/>
      <c r="LB20" s="28"/>
      <c r="LC20" s="28"/>
      <c r="LD20" s="28"/>
      <c r="LE20" s="28"/>
      <c r="LF20" s="28"/>
      <c r="LG20" s="28"/>
      <c r="LH20" s="28"/>
      <c r="LI20" s="28"/>
      <c r="LJ20" s="28"/>
      <c r="LK20" s="28"/>
      <c r="LL20" s="28"/>
      <c r="LM20" s="28"/>
      <c r="LN20" s="28"/>
      <c r="LO20" s="28"/>
      <c r="LP20" s="28"/>
      <c r="LQ20" s="28"/>
      <c r="LR20" s="28"/>
      <c r="LS20" s="28"/>
      <c r="LT20" s="28"/>
      <c r="LU20" s="28"/>
      <c r="LV20" s="28"/>
      <c r="LW20" s="28"/>
      <c r="LX20" s="28"/>
      <c r="LY20" s="28"/>
      <c r="LZ20" s="28"/>
      <c r="MA20" s="28"/>
      <c r="MB20" s="28"/>
      <c r="MC20" s="28"/>
      <c r="MD20" s="28"/>
      <c r="ME20" s="28"/>
      <c r="MF20" s="28"/>
      <c r="MG20" s="28"/>
      <c r="MH20" s="28"/>
      <c r="MI20" s="28"/>
      <c r="MJ20" s="28"/>
      <c r="MK20" s="28"/>
      <c r="ML20" s="28"/>
      <c r="MM20" s="28"/>
      <c r="MN20" s="28"/>
      <c r="MO20" s="28"/>
      <c r="MP20" s="28"/>
      <c r="MQ20" s="28"/>
      <c r="MR20" s="28"/>
      <c r="MS20" s="28"/>
      <c r="MT20" s="28"/>
      <c r="MU20" s="28"/>
      <c r="MV20" s="28"/>
      <c r="MW20" s="28"/>
      <c r="MX20" s="28"/>
      <c r="MY20" s="28"/>
      <c r="MZ20" s="28"/>
      <c r="NA20" s="28"/>
      <c r="NB20" s="28"/>
      <c r="NC20" s="28"/>
      <c r="ND20" s="28"/>
      <c r="NE20" s="28"/>
      <c r="NF20" s="28"/>
      <c r="NG20" s="28"/>
      <c r="NH20" s="28"/>
      <c r="NI20" s="28"/>
      <c r="NJ20" s="28"/>
      <c r="NK20" s="28"/>
      <c r="NL20" s="28"/>
      <c r="NM20" s="28"/>
      <c r="NN20" s="28"/>
      <c r="NO20" s="28"/>
      <c r="NP20" s="28"/>
      <c r="NQ20" s="28"/>
      <c r="NR20" s="28"/>
      <c r="NS20" s="28"/>
      <c r="NT20" s="28"/>
      <c r="NU20" s="28"/>
      <c r="NV20" s="28"/>
      <c r="NW20" s="28"/>
      <c r="NX20" s="28"/>
      <c r="NY20" s="28"/>
      <c r="NZ20" s="28"/>
      <c r="OA20" s="28"/>
      <c r="OB20" s="28"/>
      <c r="OC20" s="28"/>
      <c r="OD20" s="28"/>
      <c r="OE20" s="28"/>
      <c r="OF20" s="28"/>
      <c r="OG20" s="28"/>
      <c r="OH20" s="28"/>
      <c r="OI20" s="28"/>
      <c r="OJ20" s="28"/>
      <c r="OK20" s="28"/>
      <c r="OL20" s="28"/>
      <c r="OM20" s="28"/>
      <c r="ON20" s="28"/>
      <c r="OO20" s="28"/>
      <c r="OP20" s="28"/>
      <c r="OQ20" s="28"/>
      <c r="OR20" s="28"/>
      <c r="OS20" s="28"/>
      <c r="OT20" s="28"/>
      <c r="OU20" s="28"/>
      <c r="OV20" s="28"/>
      <c r="OW20" s="28"/>
      <c r="OX20" s="28"/>
      <c r="OY20" s="28"/>
      <c r="OZ20" s="28"/>
      <c r="PA20" s="28"/>
      <c r="PB20" s="28"/>
      <c r="PC20" s="28"/>
      <c r="PD20" s="28"/>
      <c r="PE20" s="28"/>
      <c r="PF20" s="28"/>
      <c r="PG20" s="28"/>
      <c r="PH20" s="28"/>
      <c r="PI20" s="28"/>
      <c r="PJ20" s="28"/>
      <c r="PK20" s="28"/>
      <c r="PL20" s="28"/>
      <c r="PM20" s="28"/>
      <c r="PN20" s="28"/>
      <c r="PO20" s="28"/>
      <c r="PP20" s="28"/>
      <c r="PQ20" s="28"/>
      <c r="PR20" s="28"/>
      <c r="PS20" s="28"/>
      <c r="PT20" s="28"/>
      <c r="PU20" s="28"/>
      <c r="PV20" s="28"/>
      <c r="PW20" s="28"/>
      <c r="PX20" s="28"/>
      <c r="PY20" s="28"/>
      <c r="PZ20" s="28"/>
      <c r="QA20" s="28"/>
      <c r="QB20" s="28"/>
      <c r="QC20" s="28"/>
      <c r="QD20" s="28"/>
      <c r="QE20" s="28"/>
      <c r="QF20" s="28"/>
      <c r="QG20" s="28"/>
      <c r="QH20" s="28"/>
      <c r="QI20" s="28"/>
      <c r="QJ20" s="28"/>
      <c r="QK20" s="28"/>
      <c r="QL20" s="28"/>
      <c r="QM20" s="28"/>
      <c r="QN20" s="28"/>
      <c r="QO20" s="28"/>
      <c r="QP20" s="28"/>
      <c r="QQ20" s="28"/>
      <c r="QR20" s="28"/>
      <c r="QS20" s="28"/>
      <c r="QT20" s="28"/>
      <c r="QU20" s="28"/>
      <c r="QV20" s="28"/>
      <c r="QW20" s="28"/>
      <c r="QX20" s="28"/>
      <c r="QY20" s="28"/>
      <c r="QZ20" s="28"/>
      <c r="RA20" s="28"/>
      <c r="RB20" s="28"/>
      <c r="RC20" s="28"/>
      <c r="RD20" s="28"/>
      <c r="RE20" s="28"/>
      <c r="RF20" s="28"/>
      <c r="RG20" s="28"/>
      <c r="RH20" s="28"/>
      <c r="RI20" s="28"/>
      <c r="RJ20" s="28"/>
      <c r="RK20" s="28"/>
      <c r="RL20" s="28"/>
      <c r="RM20" s="28"/>
      <c r="RN20" s="28"/>
      <c r="RO20" s="28"/>
      <c r="RP20" s="28"/>
      <c r="RQ20" s="28"/>
    </row>
    <row r="21" spans="1:485" s="56" customFormat="1" x14ac:dyDescent="0.25">
      <c r="A21" s="31" t="s">
        <v>24</v>
      </c>
      <c r="B21" s="57" t="s">
        <v>322</v>
      </c>
      <c r="C21" s="58">
        <v>29</v>
      </c>
      <c r="D21" s="59">
        <v>12799.25</v>
      </c>
      <c r="E21" s="59">
        <v>11368.1</v>
      </c>
      <c r="F21" s="59">
        <v>23034.6</v>
      </c>
      <c r="G21" s="59">
        <v>3515.99</v>
      </c>
      <c r="H21" s="59">
        <v>1188.51</v>
      </c>
      <c r="I21" s="59">
        <v>1958.47</v>
      </c>
      <c r="J21" s="59">
        <v>0</v>
      </c>
      <c r="K21" s="59">
        <v>4496.8500000000004</v>
      </c>
      <c r="L21" s="59"/>
      <c r="M21" s="59">
        <v>82.96</v>
      </c>
      <c r="N21" s="59"/>
      <c r="O21" s="59">
        <v>8303.68</v>
      </c>
      <c r="P21" s="59">
        <v>870</v>
      </c>
      <c r="Q21" s="59">
        <v>9474.1</v>
      </c>
      <c r="R21" s="59">
        <v>13691.38</v>
      </c>
      <c r="S21" s="60">
        <v>7226.89</v>
      </c>
      <c r="T21" s="61">
        <f t="shared" si="1"/>
        <v>98010.780000000013</v>
      </c>
      <c r="U21" s="57"/>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KR21" s="28"/>
      <c r="KS21" s="28"/>
      <c r="KT21" s="28"/>
      <c r="KU21" s="28"/>
      <c r="KV21" s="28"/>
      <c r="KW21" s="28"/>
      <c r="KX21" s="28"/>
      <c r="KY21" s="28"/>
      <c r="KZ21" s="28"/>
      <c r="LA21" s="28"/>
      <c r="LB21" s="28"/>
      <c r="LC21" s="28"/>
      <c r="LD21" s="28"/>
      <c r="LE21" s="28"/>
      <c r="LF21" s="28"/>
      <c r="LG21" s="28"/>
      <c r="LH21" s="28"/>
      <c r="LI21" s="28"/>
      <c r="LJ21" s="28"/>
      <c r="LK21" s="28"/>
      <c r="LL21" s="28"/>
      <c r="LM21" s="28"/>
      <c r="LN21" s="28"/>
      <c r="LO21" s="28"/>
      <c r="LP21" s="28"/>
      <c r="LQ21" s="28"/>
      <c r="LR21" s="28"/>
      <c r="LS21" s="28"/>
      <c r="LT21" s="28"/>
      <c r="LU21" s="28"/>
      <c r="LV21" s="28"/>
      <c r="LW21" s="28"/>
      <c r="LX21" s="28"/>
      <c r="LY21" s="28"/>
      <c r="LZ21" s="28"/>
      <c r="MA21" s="28"/>
      <c r="MB21" s="28"/>
      <c r="MC21" s="28"/>
      <c r="MD21" s="28"/>
      <c r="ME21" s="28"/>
      <c r="MF21" s="28"/>
      <c r="MG21" s="28"/>
      <c r="MH21" s="28"/>
      <c r="MI21" s="28"/>
      <c r="MJ21" s="28"/>
      <c r="MK21" s="28"/>
      <c r="ML21" s="28"/>
      <c r="MM21" s="28"/>
      <c r="MN21" s="28"/>
      <c r="MO21" s="28"/>
      <c r="MP21" s="28"/>
      <c r="MQ21" s="28"/>
      <c r="MR21" s="28"/>
      <c r="MS21" s="28"/>
      <c r="MT21" s="28"/>
      <c r="MU21" s="28"/>
      <c r="MV21" s="28"/>
      <c r="MW21" s="28"/>
      <c r="MX21" s="28"/>
      <c r="MY21" s="28"/>
      <c r="MZ21" s="28"/>
      <c r="NA21" s="28"/>
      <c r="NB21" s="28"/>
      <c r="NC21" s="28"/>
      <c r="ND21" s="28"/>
      <c r="NE21" s="28"/>
      <c r="NF21" s="28"/>
      <c r="NG21" s="28"/>
      <c r="NH21" s="28"/>
      <c r="NI21" s="28"/>
      <c r="NJ21" s="28"/>
      <c r="NK21" s="28"/>
      <c r="NL21" s="28"/>
      <c r="NM21" s="28"/>
      <c r="NN21" s="28"/>
      <c r="NO21" s="28"/>
      <c r="NP21" s="28"/>
      <c r="NQ21" s="28"/>
      <c r="NR21" s="28"/>
      <c r="NS21" s="28"/>
      <c r="NT21" s="28"/>
      <c r="NU21" s="28"/>
      <c r="NV21" s="28"/>
      <c r="NW21" s="28"/>
      <c r="NX21" s="28"/>
      <c r="NY21" s="28"/>
      <c r="NZ21" s="28"/>
      <c r="OA21" s="28"/>
      <c r="OB21" s="28"/>
      <c r="OC21" s="28"/>
      <c r="OD21" s="28"/>
      <c r="OE21" s="28"/>
      <c r="OF21" s="28"/>
      <c r="OG21" s="28"/>
      <c r="OH21" s="28"/>
      <c r="OI21" s="28"/>
      <c r="OJ21" s="28"/>
      <c r="OK21" s="28"/>
      <c r="OL21" s="28"/>
      <c r="OM21" s="28"/>
      <c r="ON21" s="28"/>
      <c r="OO21" s="28"/>
      <c r="OP21" s="28"/>
      <c r="OQ21" s="28"/>
      <c r="OR21" s="28"/>
      <c r="OS21" s="28"/>
      <c r="OT21" s="28"/>
      <c r="OU21" s="28"/>
      <c r="OV21" s="28"/>
      <c r="OW21" s="28"/>
      <c r="OX21" s="28"/>
      <c r="OY21" s="28"/>
      <c r="OZ21" s="28"/>
      <c r="PA21" s="28"/>
      <c r="PB21" s="28"/>
      <c r="PC21" s="28"/>
      <c r="PD21" s="28"/>
      <c r="PE21" s="28"/>
      <c r="PF21" s="28"/>
      <c r="PG21" s="28"/>
      <c r="PH21" s="28"/>
      <c r="PI21" s="28"/>
      <c r="PJ21" s="28"/>
      <c r="PK21" s="28"/>
      <c r="PL21" s="28"/>
      <c r="PM21" s="28"/>
      <c r="PN21" s="28"/>
      <c r="PO21" s="28"/>
      <c r="PP21" s="28"/>
      <c r="PQ21" s="28"/>
      <c r="PR21" s="28"/>
      <c r="PS21" s="28"/>
      <c r="PT21" s="28"/>
      <c r="PU21" s="28"/>
      <c r="PV21" s="28"/>
      <c r="PW21" s="28"/>
      <c r="PX21" s="28"/>
      <c r="PY21" s="28"/>
      <c r="PZ21" s="28"/>
      <c r="QA21" s="28"/>
      <c r="QB21" s="28"/>
      <c r="QC21" s="28"/>
      <c r="QD21" s="28"/>
      <c r="QE21" s="28"/>
      <c r="QF21" s="28"/>
      <c r="QG21" s="28"/>
      <c r="QH21" s="28"/>
      <c r="QI21" s="28"/>
      <c r="QJ21" s="28"/>
      <c r="QK21" s="28"/>
      <c r="QL21" s="28"/>
      <c r="QM21" s="28"/>
      <c r="QN21" s="28"/>
      <c r="QO21" s="28"/>
      <c r="QP21" s="28"/>
      <c r="QQ21" s="28"/>
      <c r="QR21" s="28"/>
      <c r="QS21" s="28"/>
      <c r="QT21" s="28"/>
      <c r="QU21" s="28"/>
      <c r="QV21" s="28"/>
      <c r="QW21" s="28"/>
      <c r="QX21" s="28"/>
      <c r="QY21" s="28"/>
      <c r="QZ21" s="28"/>
      <c r="RA21" s="28"/>
      <c r="RB21" s="28"/>
      <c r="RC21" s="28"/>
      <c r="RD21" s="28"/>
      <c r="RE21" s="28"/>
      <c r="RF21" s="28"/>
      <c r="RG21" s="28"/>
      <c r="RH21" s="28"/>
      <c r="RI21" s="28"/>
      <c r="RJ21" s="28"/>
      <c r="RK21" s="28"/>
      <c r="RL21" s="28"/>
      <c r="RM21" s="28"/>
      <c r="RN21" s="28"/>
      <c r="RO21" s="28"/>
      <c r="RP21" s="28"/>
      <c r="RQ21" s="28"/>
    </row>
    <row r="22" spans="1:485" s="56" customFormat="1" x14ac:dyDescent="0.25">
      <c r="A22" s="31" t="s">
        <v>25</v>
      </c>
      <c r="B22" s="57">
        <v>45163</v>
      </c>
      <c r="C22" s="58">
        <v>0</v>
      </c>
      <c r="D22" s="59">
        <v>0</v>
      </c>
      <c r="E22" s="59">
        <v>0</v>
      </c>
      <c r="F22" s="59">
        <v>0</v>
      </c>
      <c r="G22" s="59">
        <v>0</v>
      </c>
      <c r="H22" s="59">
        <v>0</v>
      </c>
      <c r="I22" s="59">
        <v>0</v>
      </c>
      <c r="J22" s="59">
        <v>0</v>
      </c>
      <c r="K22" s="59">
        <v>0</v>
      </c>
      <c r="L22" s="59">
        <v>0</v>
      </c>
      <c r="M22" s="59">
        <v>0</v>
      </c>
      <c r="N22" s="59">
        <v>0</v>
      </c>
      <c r="O22" s="59">
        <v>0</v>
      </c>
      <c r="P22" s="59">
        <v>0</v>
      </c>
      <c r="Q22" s="59">
        <v>0</v>
      </c>
      <c r="R22" s="59">
        <v>0</v>
      </c>
      <c r="S22" s="60">
        <v>0</v>
      </c>
      <c r="T22" s="61">
        <v>0</v>
      </c>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KR22" s="28"/>
      <c r="KS22" s="28"/>
      <c r="KT22" s="28"/>
      <c r="KU22" s="28"/>
      <c r="KV22" s="28"/>
      <c r="KW22" s="28"/>
      <c r="KX22" s="28"/>
      <c r="KY22" s="28"/>
      <c r="KZ22" s="28"/>
      <c r="LA22" s="28"/>
      <c r="LB22" s="28"/>
      <c r="LC22" s="28"/>
      <c r="LD22" s="28"/>
      <c r="LE22" s="28"/>
      <c r="LF22" s="28"/>
      <c r="LG22" s="28"/>
      <c r="LH22" s="28"/>
      <c r="LI22" s="28"/>
      <c r="LJ22" s="28"/>
      <c r="LK22" s="28"/>
      <c r="LL22" s="28"/>
      <c r="LM22" s="28"/>
      <c r="LN22" s="28"/>
      <c r="LO22" s="28"/>
      <c r="LP22" s="28"/>
      <c r="LQ22" s="28"/>
      <c r="LR22" s="28"/>
      <c r="LS22" s="28"/>
      <c r="LT22" s="28"/>
      <c r="LU22" s="28"/>
      <c r="LV22" s="28"/>
      <c r="LW22" s="28"/>
      <c r="LX22" s="28"/>
      <c r="LY22" s="28"/>
      <c r="LZ22" s="28"/>
      <c r="MA22" s="28"/>
      <c r="MB22" s="28"/>
      <c r="MC22" s="28"/>
      <c r="MD22" s="28"/>
      <c r="ME22" s="28"/>
      <c r="MF22" s="28"/>
      <c r="MG22" s="28"/>
      <c r="MH22" s="28"/>
      <c r="MI22" s="28"/>
      <c r="MJ22" s="28"/>
      <c r="MK22" s="28"/>
      <c r="ML22" s="28"/>
      <c r="MM22" s="28"/>
      <c r="MN22" s="28"/>
      <c r="MO22" s="28"/>
      <c r="MP22" s="28"/>
      <c r="MQ22" s="28"/>
      <c r="MR22" s="28"/>
      <c r="MS22" s="28"/>
      <c r="MT22" s="28"/>
      <c r="MU22" s="28"/>
      <c r="MV22" s="28"/>
      <c r="MW22" s="28"/>
      <c r="MX22" s="28"/>
      <c r="MY22" s="28"/>
      <c r="MZ22" s="28"/>
      <c r="NA22" s="28"/>
      <c r="NB22" s="28"/>
      <c r="NC22" s="28"/>
      <c r="ND22" s="28"/>
      <c r="NE22" s="28"/>
      <c r="NF22" s="28"/>
      <c r="NG22" s="28"/>
      <c r="NH22" s="28"/>
      <c r="NI22" s="28"/>
      <c r="NJ22" s="28"/>
      <c r="NK22" s="28"/>
      <c r="NL22" s="28"/>
      <c r="NM22" s="28"/>
      <c r="NN22" s="28"/>
      <c r="NO22" s="28"/>
      <c r="NP22" s="28"/>
      <c r="NQ22" s="28"/>
      <c r="NR22" s="28"/>
      <c r="NS22" s="28"/>
      <c r="NT22" s="28"/>
      <c r="NU22" s="28"/>
      <c r="NV22" s="28"/>
      <c r="NW22" s="28"/>
      <c r="NX22" s="28"/>
      <c r="NY22" s="28"/>
      <c r="NZ22" s="28"/>
      <c r="OA22" s="28"/>
      <c r="OB22" s="28"/>
      <c r="OC22" s="28"/>
      <c r="OD22" s="28"/>
      <c r="OE22" s="28"/>
      <c r="OF22" s="28"/>
      <c r="OG22" s="28"/>
      <c r="OH22" s="28"/>
      <c r="OI22" s="28"/>
      <c r="OJ22" s="28"/>
      <c r="OK22" s="28"/>
      <c r="OL22" s="28"/>
      <c r="OM22" s="28"/>
      <c r="ON22" s="28"/>
      <c r="OO22" s="28"/>
      <c r="OP22" s="28"/>
      <c r="OQ22" s="28"/>
      <c r="OR22" s="28"/>
      <c r="OS22" s="28"/>
      <c r="OT22" s="28"/>
      <c r="OU22" s="28"/>
      <c r="OV22" s="28"/>
      <c r="OW22" s="28"/>
      <c r="OX22" s="28"/>
      <c r="OY22" s="28"/>
      <c r="OZ22" s="28"/>
      <c r="PA22" s="28"/>
      <c r="PB22" s="28"/>
      <c r="PC22" s="28"/>
      <c r="PD22" s="28"/>
      <c r="PE22" s="28"/>
      <c r="PF22" s="28"/>
      <c r="PG22" s="28"/>
      <c r="PH22" s="28"/>
      <c r="PI22" s="28"/>
      <c r="PJ22" s="28"/>
      <c r="PK22" s="28"/>
      <c r="PL22" s="28"/>
      <c r="PM22" s="28"/>
      <c r="PN22" s="28"/>
      <c r="PO22" s="28"/>
      <c r="PP22" s="28"/>
      <c r="PQ22" s="28"/>
      <c r="PR22" s="28"/>
      <c r="PS22" s="28"/>
      <c r="PT22" s="28"/>
      <c r="PU22" s="28"/>
      <c r="PV22" s="28"/>
      <c r="PW22" s="28"/>
      <c r="PX22" s="28"/>
      <c r="PY22" s="28"/>
      <c r="PZ22" s="28"/>
      <c r="QA22" s="28"/>
      <c r="QB22" s="28"/>
      <c r="QC22" s="28"/>
      <c r="QD22" s="28"/>
      <c r="QE22" s="28"/>
      <c r="QF22" s="28"/>
      <c r="QG22" s="28"/>
      <c r="QH22" s="28"/>
      <c r="QI22" s="28"/>
      <c r="QJ22" s="28"/>
      <c r="QK22" s="28"/>
      <c r="QL22" s="28"/>
      <c r="QM22" s="28"/>
      <c r="QN22" s="28"/>
      <c r="QO22" s="28"/>
      <c r="QP22" s="28"/>
      <c r="QQ22" s="28"/>
      <c r="QR22" s="28"/>
      <c r="QS22" s="28"/>
      <c r="QT22" s="28"/>
      <c r="QU22" s="28"/>
      <c r="QV22" s="28"/>
      <c r="QW22" s="28"/>
      <c r="QX22" s="28"/>
      <c r="QY22" s="28"/>
      <c r="QZ22" s="28"/>
      <c r="RA22" s="28"/>
      <c r="RB22" s="28"/>
      <c r="RC22" s="28"/>
      <c r="RD22" s="28"/>
      <c r="RE22" s="28"/>
      <c r="RF22" s="28"/>
      <c r="RG22" s="28"/>
      <c r="RH22" s="28"/>
      <c r="RI22" s="28"/>
      <c r="RJ22" s="28"/>
      <c r="RK22" s="28"/>
      <c r="RL22" s="28"/>
      <c r="RM22" s="28"/>
      <c r="RN22" s="28"/>
      <c r="RO22" s="28"/>
      <c r="RP22" s="28"/>
      <c r="RQ22" s="28"/>
    </row>
    <row r="23" spans="1:485" s="56" customFormat="1" x14ac:dyDescent="0.25">
      <c r="A23" s="31" t="s">
        <v>26</v>
      </c>
      <c r="B23" s="57">
        <v>45134</v>
      </c>
      <c r="C23" s="58">
        <v>15</v>
      </c>
      <c r="D23" s="59">
        <v>1047.53</v>
      </c>
      <c r="E23" s="59">
        <v>291.49</v>
      </c>
      <c r="F23" s="59">
        <v>5811.54</v>
      </c>
      <c r="G23" s="59">
        <v>992.88</v>
      </c>
      <c r="H23" s="59">
        <v>491.89</v>
      </c>
      <c r="I23" s="59">
        <v>437.23</v>
      </c>
      <c r="J23" s="59">
        <v>0</v>
      </c>
      <c r="K23" s="59">
        <v>316.39999999999998</v>
      </c>
      <c r="L23" s="59">
        <v>162.9</v>
      </c>
      <c r="M23" s="59">
        <v>0.86</v>
      </c>
      <c r="N23" s="59">
        <v>0</v>
      </c>
      <c r="O23" s="59"/>
      <c r="P23" s="59">
        <v>255</v>
      </c>
      <c r="Q23" s="59">
        <v>1431.85</v>
      </c>
      <c r="R23" s="59">
        <v>2196.92</v>
      </c>
      <c r="S23" s="60">
        <v>1323.47</v>
      </c>
      <c r="T23" s="61">
        <f t="shared" ref="T23:T28" si="2">SUM(D23:S23)</f>
        <v>14759.96</v>
      </c>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KR23" s="28"/>
      <c r="KS23" s="28"/>
      <c r="KT23" s="28"/>
      <c r="KU23" s="28"/>
      <c r="KV23" s="28"/>
      <c r="KW23" s="28"/>
      <c r="KX23" s="28"/>
      <c r="KY23" s="28"/>
      <c r="KZ23" s="28"/>
      <c r="LA23" s="28"/>
      <c r="LB23" s="28"/>
      <c r="LC23" s="28"/>
      <c r="LD23" s="28"/>
      <c r="LE23" s="28"/>
      <c r="LF23" s="28"/>
      <c r="LG23" s="28"/>
      <c r="LH23" s="28"/>
      <c r="LI23" s="28"/>
      <c r="LJ23" s="28"/>
      <c r="LK23" s="28"/>
      <c r="LL23" s="28"/>
      <c r="LM23" s="28"/>
      <c r="LN23" s="28"/>
      <c r="LO23" s="28"/>
      <c r="LP23" s="28"/>
      <c r="LQ23" s="28"/>
      <c r="LR23" s="28"/>
      <c r="LS23" s="28"/>
      <c r="LT23" s="28"/>
      <c r="LU23" s="28"/>
      <c r="LV23" s="28"/>
      <c r="LW23" s="28"/>
      <c r="LX23" s="28"/>
      <c r="LY23" s="28"/>
      <c r="LZ23" s="28"/>
      <c r="MA23" s="28"/>
      <c r="MB23" s="28"/>
      <c r="MC23" s="28"/>
      <c r="MD23" s="28"/>
      <c r="ME23" s="28"/>
      <c r="MF23" s="28"/>
      <c r="MG23" s="28"/>
      <c r="MH23" s="28"/>
      <c r="MI23" s="28"/>
      <c r="MJ23" s="28"/>
      <c r="MK23" s="28"/>
      <c r="ML23" s="28"/>
      <c r="MM23" s="28"/>
      <c r="MN23" s="28"/>
      <c r="MO23" s="28"/>
      <c r="MP23" s="28"/>
      <c r="MQ23" s="28"/>
      <c r="MR23" s="28"/>
      <c r="MS23" s="28"/>
      <c r="MT23" s="28"/>
      <c r="MU23" s="28"/>
      <c r="MV23" s="28"/>
      <c r="MW23" s="28"/>
      <c r="MX23" s="28"/>
      <c r="MY23" s="28"/>
      <c r="MZ23" s="28"/>
      <c r="NA23" s="28"/>
      <c r="NB23" s="28"/>
      <c r="NC23" s="28"/>
      <c r="ND23" s="28"/>
      <c r="NE23" s="28"/>
      <c r="NF23" s="28"/>
      <c r="NG23" s="28"/>
      <c r="NH23" s="28"/>
      <c r="NI23" s="28"/>
      <c r="NJ23" s="28"/>
      <c r="NK23" s="28"/>
      <c r="NL23" s="28"/>
      <c r="NM23" s="28"/>
      <c r="NN23" s="28"/>
      <c r="NO23" s="28"/>
      <c r="NP23" s="28"/>
      <c r="NQ23" s="28"/>
      <c r="NR23" s="28"/>
      <c r="NS23" s="28"/>
      <c r="NT23" s="28"/>
      <c r="NU23" s="28"/>
      <c r="NV23" s="28"/>
      <c r="NW23" s="28"/>
      <c r="NX23" s="28"/>
      <c r="NY23" s="28"/>
      <c r="NZ23" s="28"/>
      <c r="OA23" s="28"/>
      <c r="OB23" s="28"/>
      <c r="OC23" s="28"/>
      <c r="OD23" s="28"/>
      <c r="OE23" s="28"/>
      <c r="OF23" s="28"/>
      <c r="OG23" s="28"/>
      <c r="OH23" s="28"/>
      <c r="OI23" s="28"/>
      <c r="OJ23" s="28"/>
      <c r="OK23" s="28"/>
      <c r="OL23" s="28"/>
      <c r="OM23" s="28"/>
      <c r="ON23" s="28"/>
      <c r="OO23" s="28"/>
      <c r="OP23" s="28"/>
      <c r="OQ23" s="28"/>
      <c r="OR23" s="28"/>
      <c r="OS23" s="28"/>
      <c r="OT23" s="28"/>
      <c r="OU23" s="28"/>
      <c r="OV23" s="28"/>
      <c r="OW23" s="28"/>
      <c r="OX23" s="28"/>
      <c r="OY23" s="28"/>
      <c r="OZ23" s="28"/>
      <c r="PA23" s="28"/>
      <c r="PB23" s="28"/>
      <c r="PC23" s="28"/>
      <c r="PD23" s="28"/>
      <c r="PE23" s="28"/>
      <c r="PF23" s="28"/>
      <c r="PG23" s="28"/>
      <c r="PH23" s="28"/>
      <c r="PI23" s="28"/>
      <c r="PJ23" s="28"/>
      <c r="PK23" s="28"/>
      <c r="PL23" s="28"/>
      <c r="PM23" s="28"/>
      <c r="PN23" s="28"/>
      <c r="PO23" s="28"/>
      <c r="PP23" s="28"/>
      <c r="PQ23" s="28"/>
      <c r="PR23" s="28"/>
      <c r="PS23" s="28"/>
      <c r="PT23" s="28"/>
      <c r="PU23" s="28"/>
      <c r="PV23" s="28"/>
      <c r="PW23" s="28"/>
      <c r="PX23" s="28"/>
      <c r="PY23" s="28"/>
      <c r="PZ23" s="28"/>
      <c r="QA23" s="28"/>
      <c r="QB23" s="28"/>
      <c r="QC23" s="28"/>
      <c r="QD23" s="28"/>
      <c r="QE23" s="28"/>
      <c r="QF23" s="28"/>
      <c r="QG23" s="28"/>
      <c r="QH23" s="28"/>
      <c r="QI23" s="28"/>
      <c r="QJ23" s="28"/>
      <c r="QK23" s="28"/>
      <c r="QL23" s="28"/>
      <c r="QM23" s="28"/>
      <c r="QN23" s="28"/>
      <c r="QO23" s="28"/>
      <c r="QP23" s="28"/>
      <c r="QQ23" s="28"/>
      <c r="QR23" s="28"/>
      <c r="QS23" s="28"/>
      <c r="QT23" s="28"/>
      <c r="QU23" s="28"/>
      <c r="QV23" s="28"/>
      <c r="QW23" s="28"/>
      <c r="QX23" s="28"/>
      <c r="QY23" s="28"/>
      <c r="QZ23" s="28"/>
      <c r="RA23" s="28"/>
      <c r="RB23" s="28"/>
      <c r="RC23" s="28"/>
      <c r="RD23" s="28"/>
      <c r="RE23" s="28"/>
      <c r="RF23" s="28"/>
      <c r="RG23" s="28"/>
      <c r="RH23" s="28"/>
      <c r="RI23" s="28"/>
      <c r="RJ23" s="28"/>
      <c r="RK23" s="28"/>
      <c r="RL23" s="28"/>
      <c r="RM23" s="28"/>
      <c r="RN23" s="28"/>
      <c r="RO23" s="28"/>
      <c r="RP23" s="28"/>
      <c r="RQ23" s="28"/>
    </row>
    <row r="24" spans="1:485" s="56" customFormat="1" x14ac:dyDescent="0.25">
      <c r="A24" s="31" t="s">
        <v>27</v>
      </c>
      <c r="B24" s="57">
        <v>45163</v>
      </c>
      <c r="C24" s="58">
        <v>111</v>
      </c>
      <c r="D24" s="59">
        <v>5774.85</v>
      </c>
      <c r="E24" s="59">
        <v>5592.35</v>
      </c>
      <c r="F24" s="59">
        <v>23601.07</v>
      </c>
      <c r="G24" s="59">
        <v>0</v>
      </c>
      <c r="H24" s="59">
        <v>3012.9</v>
      </c>
      <c r="I24" s="59">
        <v>2209.4499999999998</v>
      </c>
      <c r="J24" s="59">
        <v>0</v>
      </c>
      <c r="K24" s="59">
        <v>37.14</v>
      </c>
      <c r="L24" s="59">
        <v>0</v>
      </c>
      <c r="M24" s="59">
        <v>0</v>
      </c>
      <c r="N24" s="59">
        <v>5021.5</v>
      </c>
      <c r="O24" s="59">
        <v>5775.8</v>
      </c>
      <c r="P24" s="59">
        <v>222</v>
      </c>
      <c r="Q24" s="59">
        <v>0</v>
      </c>
      <c r="R24" s="59">
        <v>8573.9699999999993</v>
      </c>
      <c r="S24" s="60">
        <v>5457.85</v>
      </c>
      <c r="T24" s="61">
        <f t="shared" si="2"/>
        <v>65278.880000000005</v>
      </c>
      <c r="U24" s="57"/>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KR24" s="28"/>
      <c r="KS24" s="28"/>
      <c r="KT24" s="28"/>
      <c r="KU24" s="28"/>
      <c r="KV24" s="28"/>
      <c r="KW24" s="28"/>
      <c r="KX24" s="28"/>
      <c r="KY24" s="28"/>
      <c r="KZ24" s="28"/>
      <c r="LA24" s="28"/>
      <c r="LB24" s="28"/>
      <c r="LC24" s="28"/>
      <c r="LD24" s="28"/>
      <c r="LE24" s="28"/>
      <c r="LF24" s="28"/>
      <c r="LG24" s="28"/>
      <c r="LH24" s="28"/>
      <c r="LI24" s="28"/>
      <c r="LJ24" s="28"/>
      <c r="LK24" s="28"/>
      <c r="LL24" s="28"/>
      <c r="LM24" s="28"/>
      <c r="LN24" s="28"/>
      <c r="LO24" s="28"/>
      <c r="LP24" s="28"/>
      <c r="LQ24" s="28"/>
      <c r="LR24" s="28"/>
      <c r="LS24" s="28"/>
      <c r="LT24" s="28"/>
      <c r="LU24" s="28"/>
      <c r="LV24" s="28"/>
      <c r="LW24" s="28"/>
      <c r="LX24" s="28"/>
      <c r="LY24" s="28"/>
      <c r="LZ24" s="28"/>
      <c r="MA24" s="28"/>
      <c r="MB24" s="28"/>
      <c r="MC24" s="28"/>
      <c r="MD24" s="28"/>
      <c r="ME24" s="28"/>
      <c r="MF24" s="28"/>
      <c r="MG24" s="28"/>
      <c r="MH24" s="28"/>
      <c r="MI24" s="28"/>
      <c r="MJ24" s="28"/>
      <c r="MK24" s="28"/>
      <c r="ML24" s="28"/>
      <c r="MM24" s="28"/>
      <c r="MN24" s="28"/>
      <c r="MO24" s="28"/>
      <c r="MP24" s="28"/>
      <c r="MQ24" s="28"/>
      <c r="MR24" s="28"/>
      <c r="MS24" s="28"/>
      <c r="MT24" s="28"/>
      <c r="MU24" s="28"/>
      <c r="MV24" s="28"/>
      <c r="MW24" s="28"/>
      <c r="MX24" s="28"/>
      <c r="MY24" s="28"/>
      <c r="MZ24" s="28"/>
      <c r="NA24" s="28"/>
      <c r="NB24" s="28"/>
      <c r="NC24" s="28"/>
      <c r="ND24" s="28"/>
      <c r="NE24" s="28"/>
      <c r="NF24" s="28"/>
      <c r="NG24" s="28"/>
      <c r="NH24" s="28"/>
      <c r="NI24" s="28"/>
      <c r="NJ24" s="28"/>
      <c r="NK24" s="28"/>
      <c r="NL24" s="28"/>
      <c r="NM24" s="28"/>
      <c r="NN24" s="28"/>
      <c r="NO24" s="28"/>
      <c r="NP24" s="28"/>
      <c r="NQ24" s="28"/>
      <c r="NR24" s="28"/>
      <c r="NS24" s="28"/>
      <c r="NT24" s="28"/>
      <c r="NU24" s="28"/>
      <c r="NV24" s="28"/>
      <c r="NW24" s="28"/>
      <c r="NX24" s="28"/>
      <c r="NY24" s="28"/>
      <c r="NZ24" s="28"/>
      <c r="OA24" s="28"/>
      <c r="OB24" s="28"/>
      <c r="OC24" s="28"/>
      <c r="OD24" s="28"/>
      <c r="OE24" s="28"/>
      <c r="OF24" s="28"/>
      <c r="OG24" s="28"/>
      <c r="OH24" s="28"/>
      <c r="OI24" s="28"/>
      <c r="OJ24" s="28"/>
      <c r="OK24" s="28"/>
      <c r="OL24" s="28"/>
      <c r="OM24" s="28"/>
      <c r="ON24" s="28"/>
      <c r="OO24" s="28"/>
      <c r="OP24" s="28"/>
      <c r="OQ24" s="28"/>
      <c r="OR24" s="28"/>
      <c r="OS24" s="28"/>
      <c r="OT24" s="28"/>
      <c r="OU24" s="28"/>
      <c r="OV24" s="28"/>
      <c r="OW24" s="28"/>
      <c r="OX24" s="28"/>
      <c r="OY24" s="28"/>
      <c r="OZ24" s="28"/>
      <c r="PA24" s="28"/>
      <c r="PB24" s="28"/>
      <c r="PC24" s="28"/>
      <c r="PD24" s="28"/>
      <c r="PE24" s="28"/>
      <c r="PF24" s="28"/>
      <c r="PG24" s="28"/>
      <c r="PH24" s="28"/>
      <c r="PI24" s="28"/>
      <c r="PJ24" s="28"/>
      <c r="PK24" s="28"/>
      <c r="PL24" s="28"/>
      <c r="PM24" s="28"/>
      <c r="PN24" s="28"/>
      <c r="PO24" s="28"/>
      <c r="PP24" s="28"/>
      <c r="PQ24" s="28"/>
      <c r="PR24" s="28"/>
      <c r="PS24" s="28"/>
      <c r="PT24" s="28"/>
      <c r="PU24" s="28"/>
      <c r="PV24" s="28"/>
      <c r="PW24" s="28"/>
      <c r="PX24" s="28"/>
      <c r="PY24" s="28"/>
      <c r="PZ24" s="28"/>
      <c r="QA24" s="28"/>
      <c r="QB24" s="28"/>
      <c r="QC24" s="28"/>
      <c r="QD24" s="28"/>
      <c r="QE24" s="28"/>
      <c r="QF24" s="28"/>
      <c r="QG24" s="28"/>
      <c r="QH24" s="28"/>
      <c r="QI24" s="28"/>
      <c r="QJ24" s="28"/>
      <c r="QK24" s="28"/>
      <c r="QL24" s="28"/>
      <c r="QM24" s="28"/>
      <c r="QN24" s="28"/>
      <c r="QO24" s="28"/>
      <c r="QP24" s="28"/>
      <c r="QQ24" s="28"/>
      <c r="QR24" s="28"/>
      <c r="QS24" s="28"/>
      <c r="QT24" s="28"/>
      <c r="QU24" s="28"/>
      <c r="QV24" s="28"/>
      <c r="QW24" s="28"/>
      <c r="QX24" s="28"/>
      <c r="QY24" s="28"/>
      <c r="QZ24" s="28"/>
      <c r="RA24" s="28"/>
      <c r="RB24" s="28"/>
      <c r="RC24" s="28"/>
      <c r="RD24" s="28"/>
      <c r="RE24" s="28"/>
      <c r="RF24" s="28"/>
      <c r="RG24" s="28"/>
      <c r="RH24" s="28"/>
      <c r="RI24" s="28"/>
      <c r="RJ24" s="28"/>
      <c r="RK24" s="28"/>
      <c r="RL24" s="28"/>
      <c r="RM24" s="28"/>
      <c r="RN24" s="28"/>
      <c r="RO24" s="28"/>
      <c r="RP24" s="28"/>
      <c r="RQ24" s="28"/>
    </row>
    <row r="25" spans="1:485" s="56" customFormat="1" x14ac:dyDescent="0.25">
      <c r="A25" s="31" t="s">
        <v>28</v>
      </c>
      <c r="B25" s="57">
        <v>45146</v>
      </c>
      <c r="C25" s="58">
        <v>39</v>
      </c>
      <c r="D25" s="59">
        <v>2327.0300000000002</v>
      </c>
      <c r="E25" s="59">
        <v>1355.76</v>
      </c>
      <c r="F25" s="59">
        <v>9854.4500000000007</v>
      </c>
      <c r="G25" s="59">
        <v>1760.44</v>
      </c>
      <c r="H25" s="59">
        <v>708.24</v>
      </c>
      <c r="I25" s="59">
        <v>385.47</v>
      </c>
      <c r="J25" s="59">
        <v>1193.8499999999999</v>
      </c>
      <c r="K25" s="59">
        <v>13.86</v>
      </c>
      <c r="L25" s="59">
        <v>0</v>
      </c>
      <c r="M25" s="59">
        <v>485.64</v>
      </c>
      <c r="N25" s="59">
        <v>1153.3900000000001</v>
      </c>
      <c r="O25" s="59">
        <v>2985.22</v>
      </c>
      <c r="P25" s="59">
        <v>429</v>
      </c>
      <c r="Q25" s="59">
        <v>3131.05</v>
      </c>
      <c r="R25" s="59">
        <v>4473.6400000000003</v>
      </c>
      <c r="S25" s="60">
        <v>2626.78</v>
      </c>
      <c r="T25" s="61">
        <f t="shared" si="2"/>
        <v>32883.82</v>
      </c>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KR25" s="28"/>
      <c r="KS25" s="28"/>
      <c r="KT25" s="28"/>
      <c r="KU25" s="28"/>
      <c r="KV25" s="28"/>
      <c r="KW25" s="28"/>
      <c r="KX25" s="28"/>
      <c r="KY25" s="28"/>
      <c r="KZ25" s="28"/>
      <c r="LA25" s="28"/>
      <c r="LB25" s="28"/>
      <c r="LC25" s="28"/>
      <c r="LD25" s="28"/>
      <c r="LE25" s="28"/>
      <c r="LF25" s="28"/>
      <c r="LG25" s="28"/>
      <c r="LH25" s="28"/>
      <c r="LI25" s="28"/>
      <c r="LJ25" s="28"/>
      <c r="LK25" s="28"/>
      <c r="LL25" s="28"/>
      <c r="LM25" s="28"/>
      <c r="LN25" s="28"/>
      <c r="LO25" s="28"/>
      <c r="LP25" s="28"/>
      <c r="LQ25" s="28"/>
      <c r="LR25" s="28"/>
      <c r="LS25" s="28"/>
      <c r="LT25" s="28"/>
      <c r="LU25" s="28"/>
      <c r="LV25" s="28"/>
      <c r="LW25" s="28"/>
      <c r="LX25" s="28"/>
      <c r="LY25" s="28"/>
      <c r="LZ25" s="28"/>
      <c r="MA25" s="28"/>
      <c r="MB25" s="28"/>
      <c r="MC25" s="28"/>
      <c r="MD25" s="28"/>
      <c r="ME25" s="28"/>
      <c r="MF25" s="28"/>
      <c r="MG25" s="28"/>
      <c r="MH25" s="28"/>
      <c r="MI25" s="28"/>
      <c r="MJ25" s="28"/>
      <c r="MK25" s="28"/>
      <c r="ML25" s="28"/>
      <c r="MM25" s="28"/>
      <c r="MN25" s="28"/>
      <c r="MO25" s="28"/>
      <c r="MP25" s="28"/>
      <c r="MQ25" s="28"/>
      <c r="MR25" s="28"/>
      <c r="MS25" s="28"/>
      <c r="MT25" s="28"/>
      <c r="MU25" s="28"/>
      <c r="MV25" s="28"/>
      <c r="MW25" s="28"/>
      <c r="MX25" s="28"/>
      <c r="MY25" s="28"/>
      <c r="MZ25" s="28"/>
      <c r="NA25" s="28"/>
      <c r="NB25" s="28"/>
      <c r="NC25" s="28"/>
      <c r="ND25" s="28"/>
      <c r="NE25" s="28"/>
      <c r="NF25" s="28"/>
      <c r="NG25" s="28"/>
      <c r="NH25" s="28"/>
      <c r="NI25" s="28"/>
      <c r="NJ25" s="28"/>
      <c r="NK25" s="28"/>
      <c r="NL25" s="28"/>
      <c r="NM25" s="28"/>
      <c r="NN25" s="28"/>
      <c r="NO25" s="28"/>
      <c r="NP25" s="28"/>
      <c r="NQ25" s="28"/>
      <c r="NR25" s="28"/>
      <c r="NS25" s="28"/>
      <c r="NT25" s="28"/>
      <c r="NU25" s="28"/>
      <c r="NV25" s="28"/>
      <c r="NW25" s="28"/>
      <c r="NX25" s="28"/>
      <c r="NY25" s="28"/>
      <c r="NZ25" s="28"/>
      <c r="OA25" s="28"/>
      <c r="OB25" s="28"/>
      <c r="OC25" s="28"/>
      <c r="OD25" s="28"/>
      <c r="OE25" s="28"/>
      <c r="OF25" s="28"/>
      <c r="OG25" s="28"/>
      <c r="OH25" s="28"/>
      <c r="OI25" s="28"/>
      <c r="OJ25" s="28"/>
      <c r="OK25" s="28"/>
      <c r="OL25" s="28"/>
      <c r="OM25" s="28"/>
      <c r="ON25" s="28"/>
      <c r="OO25" s="28"/>
      <c r="OP25" s="28"/>
      <c r="OQ25" s="28"/>
      <c r="OR25" s="28"/>
      <c r="OS25" s="28"/>
      <c r="OT25" s="28"/>
      <c r="OU25" s="28"/>
      <c r="OV25" s="28"/>
      <c r="OW25" s="28"/>
      <c r="OX25" s="28"/>
      <c r="OY25" s="28"/>
      <c r="OZ25" s="28"/>
      <c r="PA25" s="28"/>
      <c r="PB25" s="28"/>
      <c r="PC25" s="28"/>
      <c r="PD25" s="28"/>
      <c r="PE25" s="28"/>
      <c r="PF25" s="28"/>
      <c r="PG25" s="28"/>
      <c r="PH25" s="28"/>
      <c r="PI25" s="28"/>
      <c r="PJ25" s="28"/>
      <c r="PK25" s="28"/>
      <c r="PL25" s="28"/>
      <c r="PM25" s="28"/>
      <c r="PN25" s="28"/>
      <c r="PO25" s="28"/>
      <c r="PP25" s="28"/>
      <c r="PQ25" s="28"/>
      <c r="PR25" s="28"/>
      <c r="PS25" s="28"/>
      <c r="PT25" s="28"/>
      <c r="PU25" s="28"/>
      <c r="PV25" s="28"/>
      <c r="PW25" s="28"/>
      <c r="PX25" s="28"/>
      <c r="PY25" s="28"/>
      <c r="PZ25" s="28"/>
      <c r="QA25" s="28"/>
      <c r="QB25" s="28"/>
      <c r="QC25" s="28"/>
      <c r="QD25" s="28"/>
      <c r="QE25" s="28"/>
      <c r="QF25" s="28"/>
      <c r="QG25" s="28"/>
      <c r="QH25" s="28"/>
      <c r="QI25" s="28"/>
      <c r="QJ25" s="28"/>
      <c r="QK25" s="28"/>
      <c r="QL25" s="28"/>
      <c r="QM25" s="28"/>
      <c r="QN25" s="28"/>
      <c r="QO25" s="28"/>
      <c r="QP25" s="28"/>
      <c r="QQ25" s="28"/>
      <c r="QR25" s="28"/>
      <c r="QS25" s="28"/>
      <c r="QT25" s="28"/>
      <c r="QU25" s="28"/>
      <c r="QV25" s="28"/>
      <c r="QW25" s="28"/>
      <c r="QX25" s="28"/>
      <c r="QY25" s="28"/>
      <c r="QZ25" s="28"/>
      <c r="RA25" s="28"/>
      <c r="RB25" s="28"/>
      <c r="RC25" s="28"/>
      <c r="RD25" s="28"/>
      <c r="RE25" s="28"/>
      <c r="RF25" s="28"/>
      <c r="RG25" s="28"/>
      <c r="RH25" s="28"/>
      <c r="RI25" s="28"/>
      <c r="RJ25" s="28"/>
      <c r="RK25" s="28"/>
      <c r="RL25" s="28"/>
      <c r="RM25" s="28"/>
      <c r="RN25" s="28"/>
      <c r="RO25" s="28"/>
      <c r="RP25" s="28"/>
      <c r="RQ25" s="28"/>
    </row>
    <row r="26" spans="1:485" s="56" customFormat="1" x14ac:dyDescent="0.25">
      <c r="A26" s="31" t="s">
        <v>29</v>
      </c>
      <c r="B26" s="57">
        <v>45167</v>
      </c>
      <c r="C26" s="58">
        <v>147</v>
      </c>
      <c r="D26" s="59">
        <v>14879.98</v>
      </c>
      <c r="E26" s="59">
        <v>23549.22</v>
      </c>
      <c r="F26" s="59">
        <v>54603.1</v>
      </c>
      <c r="G26" s="59"/>
      <c r="H26" s="59">
        <v>4140.5200000000004</v>
      </c>
      <c r="I26" s="59">
        <v>3105.42</v>
      </c>
      <c r="J26" s="59">
        <v>0</v>
      </c>
      <c r="K26" s="59">
        <v>4481.18</v>
      </c>
      <c r="L26" s="59">
        <v>7.11</v>
      </c>
      <c r="M26" s="59">
        <v>517.57000000000005</v>
      </c>
      <c r="N26" s="59"/>
      <c r="O26" s="59">
        <v>13572.65</v>
      </c>
      <c r="P26" s="59">
        <v>1176</v>
      </c>
      <c r="Q26" s="59">
        <v>14832.71</v>
      </c>
      <c r="R26" s="59">
        <v>21509.67</v>
      </c>
      <c r="S26" s="60">
        <v>12084.84</v>
      </c>
      <c r="T26" s="61">
        <f t="shared" si="2"/>
        <v>168459.97</v>
      </c>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KR26" s="28"/>
      <c r="KS26" s="28"/>
      <c r="KT26" s="28"/>
      <c r="KU26" s="28"/>
      <c r="KV26" s="28"/>
      <c r="KW26" s="28"/>
      <c r="KX26" s="28"/>
      <c r="KY26" s="28"/>
      <c r="KZ26" s="28"/>
      <c r="LA26" s="28"/>
      <c r="LB26" s="28"/>
      <c r="LC26" s="28"/>
      <c r="LD26" s="28"/>
      <c r="LE26" s="28"/>
      <c r="LF26" s="28"/>
      <c r="LG26" s="28"/>
      <c r="LH26" s="28"/>
      <c r="LI26" s="28"/>
      <c r="LJ26" s="28"/>
      <c r="LK26" s="28"/>
      <c r="LL26" s="28"/>
      <c r="LM26" s="28"/>
      <c r="LN26" s="28"/>
      <c r="LO26" s="28"/>
      <c r="LP26" s="28"/>
      <c r="LQ26" s="28"/>
      <c r="LR26" s="28"/>
      <c r="LS26" s="28"/>
      <c r="LT26" s="28"/>
      <c r="LU26" s="28"/>
      <c r="LV26" s="28"/>
      <c r="LW26" s="28"/>
      <c r="LX26" s="28"/>
      <c r="LY26" s="28"/>
      <c r="LZ26" s="28"/>
      <c r="MA26" s="28"/>
      <c r="MB26" s="28"/>
      <c r="MC26" s="28"/>
      <c r="MD26" s="28"/>
      <c r="ME26" s="28"/>
      <c r="MF26" s="28"/>
      <c r="MG26" s="28"/>
      <c r="MH26" s="28"/>
      <c r="MI26" s="28"/>
      <c r="MJ26" s="28"/>
      <c r="MK26" s="28"/>
      <c r="ML26" s="28"/>
      <c r="MM26" s="28"/>
      <c r="MN26" s="28"/>
      <c r="MO26" s="28"/>
      <c r="MP26" s="28"/>
      <c r="MQ26" s="28"/>
      <c r="MR26" s="28"/>
      <c r="MS26" s="28"/>
      <c r="MT26" s="28"/>
      <c r="MU26" s="28"/>
      <c r="MV26" s="28"/>
      <c r="MW26" s="28"/>
      <c r="MX26" s="28"/>
      <c r="MY26" s="28"/>
      <c r="MZ26" s="28"/>
      <c r="NA26" s="28"/>
      <c r="NB26" s="28"/>
      <c r="NC26" s="28"/>
      <c r="ND26" s="28"/>
      <c r="NE26" s="28"/>
      <c r="NF26" s="28"/>
      <c r="NG26" s="28"/>
      <c r="NH26" s="28"/>
      <c r="NI26" s="28"/>
      <c r="NJ26" s="28"/>
      <c r="NK26" s="28"/>
      <c r="NL26" s="28"/>
      <c r="NM26" s="28"/>
      <c r="NN26" s="28"/>
      <c r="NO26" s="28"/>
      <c r="NP26" s="28"/>
      <c r="NQ26" s="28"/>
      <c r="NR26" s="28"/>
      <c r="NS26" s="28"/>
      <c r="NT26" s="28"/>
      <c r="NU26" s="28"/>
      <c r="NV26" s="28"/>
      <c r="NW26" s="28"/>
      <c r="NX26" s="28"/>
      <c r="NY26" s="28"/>
      <c r="NZ26" s="28"/>
      <c r="OA26" s="28"/>
      <c r="OB26" s="28"/>
      <c r="OC26" s="28"/>
      <c r="OD26" s="28"/>
      <c r="OE26" s="28"/>
      <c r="OF26" s="28"/>
      <c r="OG26" s="28"/>
      <c r="OH26" s="28"/>
      <c r="OI26" s="28"/>
      <c r="OJ26" s="28"/>
      <c r="OK26" s="28"/>
      <c r="OL26" s="28"/>
      <c r="OM26" s="28"/>
      <c r="ON26" s="28"/>
      <c r="OO26" s="28"/>
      <c r="OP26" s="28"/>
      <c r="OQ26" s="28"/>
      <c r="OR26" s="28"/>
      <c r="OS26" s="28"/>
      <c r="OT26" s="28"/>
      <c r="OU26" s="28"/>
      <c r="OV26" s="28"/>
      <c r="OW26" s="28"/>
      <c r="OX26" s="28"/>
      <c r="OY26" s="28"/>
      <c r="OZ26" s="28"/>
      <c r="PA26" s="28"/>
      <c r="PB26" s="28"/>
      <c r="PC26" s="28"/>
      <c r="PD26" s="28"/>
      <c r="PE26" s="28"/>
      <c r="PF26" s="28"/>
      <c r="PG26" s="28"/>
      <c r="PH26" s="28"/>
      <c r="PI26" s="28"/>
      <c r="PJ26" s="28"/>
      <c r="PK26" s="28"/>
      <c r="PL26" s="28"/>
      <c r="PM26" s="28"/>
      <c r="PN26" s="28"/>
      <c r="PO26" s="28"/>
      <c r="PP26" s="28"/>
      <c r="PQ26" s="28"/>
      <c r="PR26" s="28"/>
      <c r="PS26" s="28"/>
      <c r="PT26" s="28"/>
      <c r="PU26" s="28"/>
      <c r="PV26" s="28"/>
      <c r="PW26" s="28"/>
      <c r="PX26" s="28"/>
      <c r="PY26" s="28"/>
      <c r="PZ26" s="28"/>
      <c r="QA26" s="28"/>
      <c r="QB26" s="28"/>
      <c r="QC26" s="28"/>
      <c r="QD26" s="28"/>
      <c r="QE26" s="28"/>
      <c r="QF26" s="28"/>
      <c r="QG26" s="28"/>
      <c r="QH26" s="28"/>
      <c r="QI26" s="28"/>
      <c r="QJ26" s="28"/>
      <c r="QK26" s="28"/>
      <c r="QL26" s="28"/>
      <c r="QM26" s="28"/>
      <c r="QN26" s="28"/>
      <c r="QO26" s="28"/>
      <c r="QP26" s="28"/>
      <c r="QQ26" s="28"/>
      <c r="QR26" s="28"/>
      <c r="QS26" s="28"/>
      <c r="QT26" s="28"/>
      <c r="QU26" s="28"/>
      <c r="QV26" s="28"/>
      <c r="QW26" s="28"/>
      <c r="QX26" s="28"/>
      <c r="QY26" s="28"/>
      <c r="QZ26" s="28"/>
      <c r="RA26" s="28"/>
      <c r="RB26" s="28"/>
      <c r="RC26" s="28"/>
      <c r="RD26" s="28"/>
      <c r="RE26" s="28"/>
      <c r="RF26" s="28"/>
      <c r="RG26" s="28"/>
      <c r="RH26" s="28"/>
      <c r="RI26" s="28"/>
      <c r="RJ26" s="28"/>
      <c r="RK26" s="28"/>
      <c r="RL26" s="28"/>
      <c r="RM26" s="28"/>
      <c r="RN26" s="28"/>
      <c r="RO26" s="28"/>
      <c r="RP26" s="28"/>
      <c r="RQ26" s="28"/>
    </row>
    <row r="27" spans="1:485" x14ac:dyDescent="0.25">
      <c r="A27" s="31" t="s">
        <v>30</v>
      </c>
      <c r="B27" s="57">
        <v>45145</v>
      </c>
      <c r="C27" s="58">
        <v>153</v>
      </c>
      <c r="D27" s="59">
        <v>24955.54</v>
      </c>
      <c r="E27" s="59">
        <v>17021.88</v>
      </c>
      <c r="F27" s="59">
        <v>123403.06</v>
      </c>
      <c r="G27" s="59">
        <v>12488.15</v>
      </c>
      <c r="H27" s="59">
        <v>8615.7199999999993</v>
      </c>
      <c r="I27" s="59">
        <v>6796.11</v>
      </c>
      <c r="J27" s="59">
        <v>0</v>
      </c>
      <c r="K27" s="59">
        <v>0</v>
      </c>
      <c r="L27" s="59">
        <v>0</v>
      </c>
      <c r="M27" s="59">
        <v>0</v>
      </c>
      <c r="N27" s="59">
        <v>0</v>
      </c>
      <c r="O27" s="59">
        <v>28270.44</v>
      </c>
      <c r="P27" s="59">
        <v>1137</v>
      </c>
      <c r="Q27" s="59">
        <v>31332.65</v>
      </c>
      <c r="R27" s="59">
        <v>42565.36</v>
      </c>
      <c r="S27" s="60">
        <v>23087.24</v>
      </c>
      <c r="T27" s="61">
        <f t="shared" si="2"/>
        <v>319673.14999999997</v>
      </c>
      <c r="BE27" s="28">
        <v>0</v>
      </c>
    </row>
    <row r="28" spans="1:485" s="56" customFormat="1" x14ac:dyDescent="0.25">
      <c r="A28" s="31" t="s">
        <v>31</v>
      </c>
      <c r="B28" s="57">
        <v>45182</v>
      </c>
      <c r="C28" s="58">
        <v>47</v>
      </c>
      <c r="D28" s="59">
        <v>3754.36</v>
      </c>
      <c r="E28" s="59">
        <v>5580.15</v>
      </c>
      <c r="F28" s="59">
        <v>21416.19</v>
      </c>
      <c r="G28" s="59">
        <v>4211.41</v>
      </c>
      <c r="H28" s="59">
        <v>2285.2600000000002</v>
      </c>
      <c r="I28" s="59">
        <v>3329.94</v>
      </c>
      <c r="J28" s="59">
        <v>0</v>
      </c>
      <c r="K28" s="59">
        <v>22.26</v>
      </c>
      <c r="L28" s="59">
        <v>0</v>
      </c>
      <c r="M28" s="59">
        <v>522.34</v>
      </c>
      <c r="N28" s="59">
        <v>0</v>
      </c>
      <c r="O28" s="59">
        <v>5094.93</v>
      </c>
      <c r="P28" s="59">
        <v>106</v>
      </c>
      <c r="Q28" s="59">
        <v>0</v>
      </c>
      <c r="R28" s="59">
        <v>7715.55</v>
      </c>
      <c r="S28" s="60">
        <v>4652.79</v>
      </c>
      <c r="T28" s="61">
        <f t="shared" si="2"/>
        <v>58691.180000000008</v>
      </c>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KR28" s="28"/>
      <c r="KS28" s="28"/>
      <c r="KT28" s="28"/>
      <c r="KU28" s="28"/>
      <c r="KV28" s="28"/>
      <c r="KW28" s="28"/>
      <c r="KX28" s="28"/>
      <c r="KY28" s="28"/>
      <c r="KZ28" s="28"/>
      <c r="LA28" s="28"/>
      <c r="LB28" s="28"/>
      <c r="LC28" s="28"/>
      <c r="LD28" s="28"/>
      <c r="LE28" s="28"/>
      <c r="LF28" s="28"/>
      <c r="LG28" s="28"/>
      <c r="LH28" s="28"/>
      <c r="LI28" s="28"/>
      <c r="LJ28" s="28"/>
      <c r="LK28" s="28"/>
      <c r="LL28" s="28"/>
      <c r="LM28" s="28"/>
      <c r="LN28" s="28"/>
      <c r="LO28" s="28"/>
      <c r="LP28" s="28"/>
      <c r="LQ28" s="28"/>
      <c r="LR28" s="28"/>
      <c r="LS28" s="28"/>
      <c r="LT28" s="28"/>
      <c r="LU28" s="28"/>
      <c r="LV28" s="28"/>
      <c r="LW28" s="28"/>
      <c r="LX28" s="28"/>
      <c r="LY28" s="28"/>
      <c r="LZ28" s="28"/>
      <c r="MA28" s="28"/>
      <c r="MB28" s="28"/>
      <c r="MC28" s="28"/>
      <c r="MD28" s="28"/>
      <c r="ME28" s="28"/>
      <c r="MF28" s="28"/>
      <c r="MG28" s="28"/>
      <c r="MH28" s="28"/>
      <c r="MI28" s="28"/>
      <c r="MJ28" s="28"/>
      <c r="MK28" s="28"/>
      <c r="ML28" s="28"/>
      <c r="MM28" s="28"/>
      <c r="MN28" s="28"/>
      <c r="MO28" s="28"/>
      <c r="MP28" s="28"/>
      <c r="MQ28" s="28"/>
      <c r="MR28" s="28"/>
      <c r="MS28" s="28"/>
      <c r="MT28" s="28"/>
      <c r="MU28" s="28"/>
      <c r="MV28" s="28"/>
      <c r="MW28" s="28"/>
      <c r="MX28" s="28"/>
      <c r="MY28" s="28"/>
      <c r="MZ28" s="28"/>
      <c r="NA28" s="28"/>
      <c r="NB28" s="28"/>
      <c r="NC28" s="28"/>
      <c r="ND28" s="28"/>
      <c r="NE28" s="28"/>
      <c r="NF28" s="28"/>
      <c r="NG28" s="28"/>
      <c r="NH28" s="28"/>
      <c r="NI28" s="28"/>
      <c r="NJ28" s="28"/>
      <c r="NK28" s="28"/>
      <c r="NL28" s="28"/>
      <c r="NM28" s="28"/>
      <c r="NN28" s="28"/>
      <c r="NO28" s="28"/>
      <c r="NP28" s="28"/>
      <c r="NQ28" s="28"/>
      <c r="NR28" s="28"/>
      <c r="NS28" s="28"/>
      <c r="NT28" s="28"/>
      <c r="NU28" s="28"/>
      <c r="NV28" s="28"/>
      <c r="NW28" s="28"/>
      <c r="NX28" s="28"/>
      <c r="NY28" s="28"/>
      <c r="NZ28" s="28"/>
      <c r="OA28" s="28"/>
      <c r="OB28" s="28"/>
      <c r="OC28" s="28"/>
      <c r="OD28" s="28"/>
      <c r="OE28" s="28"/>
      <c r="OF28" s="28"/>
      <c r="OG28" s="28"/>
      <c r="OH28" s="28"/>
      <c r="OI28" s="28"/>
      <c r="OJ28" s="28"/>
      <c r="OK28" s="28"/>
      <c r="OL28" s="28"/>
      <c r="OM28" s="28"/>
    </row>
    <row r="29" spans="1:485" s="56" customFormat="1" x14ac:dyDescent="0.25">
      <c r="A29" s="31" t="s">
        <v>32</v>
      </c>
      <c r="B29" s="57">
        <v>45181</v>
      </c>
      <c r="C29" s="58">
        <v>14</v>
      </c>
      <c r="D29" s="59">
        <v>2340.21</v>
      </c>
      <c r="E29" s="59">
        <v>1343.07</v>
      </c>
      <c r="F29" s="59">
        <v>9299.73</v>
      </c>
      <c r="G29" s="59">
        <v>1017.49</v>
      </c>
      <c r="H29" s="59">
        <v>712.24</v>
      </c>
      <c r="I29" s="59">
        <v>1912.86</v>
      </c>
      <c r="J29" s="59">
        <v>0</v>
      </c>
      <c r="K29" s="59">
        <v>2.87</v>
      </c>
      <c r="L29" s="59"/>
      <c r="M29" s="59">
        <v>370.36</v>
      </c>
      <c r="N29" s="59">
        <v>0</v>
      </c>
      <c r="O29" s="59">
        <v>2245.48</v>
      </c>
      <c r="P29" s="59">
        <v>28</v>
      </c>
      <c r="Q29" s="59"/>
      <c r="R29" s="59">
        <v>3399.78</v>
      </c>
      <c r="S29" s="60">
        <v>1909.89</v>
      </c>
      <c r="T29" s="61">
        <f>SUM(D29:S29)</f>
        <v>24581.979999999996</v>
      </c>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KR29" s="28"/>
      <c r="KS29" s="28"/>
      <c r="KT29" s="28"/>
      <c r="KU29" s="28"/>
      <c r="KV29" s="28"/>
      <c r="KW29" s="28"/>
      <c r="KX29" s="28"/>
      <c r="KY29" s="28"/>
      <c r="KZ29" s="28"/>
      <c r="LA29" s="28"/>
      <c r="LB29" s="28"/>
      <c r="LC29" s="28"/>
      <c r="LD29" s="28"/>
      <c r="LE29" s="28"/>
      <c r="LF29" s="28"/>
      <c r="LG29" s="28"/>
      <c r="LH29" s="28"/>
      <c r="LI29" s="28"/>
      <c r="LJ29" s="28"/>
      <c r="LK29" s="28"/>
      <c r="LL29" s="28"/>
      <c r="LM29" s="28"/>
      <c r="LN29" s="28"/>
      <c r="LO29" s="28"/>
      <c r="LP29" s="28"/>
      <c r="LQ29" s="28"/>
      <c r="LR29" s="28"/>
      <c r="LS29" s="28"/>
      <c r="LT29" s="28"/>
      <c r="LU29" s="28"/>
      <c r="LV29" s="28"/>
      <c r="LW29" s="28"/>
      <c r="LX29" s="28"/>
      <c r="LY29" s="28"/>
      <c r="LZ29" s="28"/>
      <c r="MA29" s="28"/>
      <c r="MB29" s="28"/>
      <c r="MC29" s="28"/>
      <c r="MD29" s="28"/>
      <c r="ME29" s="28"/>
      <c r="MF29" s="28"/>
      <c r="MG29" s="28"/>
      <c r="MH29" s="28"/>
      <c r="MI29" s="28"/>
      <c r="MJ29" s="28"/>
      <c r="MK29" s="28"/>
      <c r="ML29" s="28"/>
      <c r="MM29" s="28"/>
      <c r="MN29" s="28"/>
      <c r="MO29" s="28"/>
      <c r="MP29" s="28"/>
      <c r="MQ29" s="28"/>
      <c r="MR29" s="28"/>
      <c r="MS29" s="28"/>
      <c r="MT29" s="28"/>
      <c r="MU29" s="28"/>
      <c r="MV29" s="28"/>
      <c r="MW29" s="28"/>
      <c r="MX29" s="28"/>
      <c r="MY29" s="28"/>
      <c r="MZ29" s="28"/>
      <c r="NA29" s="28"/>
      <c r="NB29" s="28"/>
      <c r="NC29" s="28"/>
      <c r="ND29" s="28"/>
      <c r="NE29" s="28"/>
      <c r="NF29" s="28"/>
      <c r="NG29" s="28"/>
      <c r="NH29" s="28"/>
      <c r="NI29" s="28"/>
      <c r="NJ29" s="28"/>
      <c r="NK29" s="28"/>
      <c r="NL29" s="28"/>
      <c r="NM29" s="28"/>
      <c r="NN29" s="28"/>
      <c r="NO29" s="28"/>
      <c r="NP29" s="28"/>
      <c r="NQ29" s="28"/>
      <c r="NR29" s="28"/>
      <c r="NS29" s="28"/>
      <c r="NT29" s="28"/>
      <c r="NU29" s="28"/>
      <c r="NV29" s="28"/>
      <c r="NW29" s="28"/>
      <c r="NX29" s="28"/>
      <c r="NY29" s="28"/>
      <c r="NZ29" s="28"/>
      <c r="OA29" s="28"/>
      <c r="OB29" s="28"/>
      <c r="OC29" s="28"/>
      <c r="OD29" s="28"/>
      <c r="OE29" s="28"/>
      <c r="OF29" s="28"/>
      <c r="OG29" s="28"/>
      <c r="OH29" s="28"/>
      <c r="OI29" s="28"/>
      <c r="OJ29" s="28"/>
      <c r="OK29" s="28"/>
      <c r="OL29" s="28"/>
      <c r="OM29" s="28"/>
    </row>
    <row r="30" spans="1:485" s="64" customFormat="1" x14ac:dyDescent="0.25">
      <c r="A30" s="31" t="s">
        <v>33</v>
      </c>
      <c r="B30" s="57">
        <v>45161</v>
      </c>
      <c r="C30" s="58">
        <v>30</v>
      </c>
      <c r="D30" s="59">
        <v>2067.11</v>
      </c>
      <c r="E30" s="59">
        <v>2087.87</v>
      </c>
      <c r="F30" s="59">
        <v>8807.7199999999993</v>
      </c>
      <c r="G30" s="59">
        <v>898.75</v>
      </c>
      <c r="H30" s="59">
        <v>539.25</v>
      </c>
      <c r="I30" s="59">
        <v>736.98</v>
      </c>
      <c r="J30" s="59">
        <v>0</v>
      </c>
      <c r="K30" s="59">
        <v>600</v>
      </c>
      <c r="L30" s="59">
        <v>0</v>
      </c>
      <c r="M30" s="59">
        <v>0</v>
      </c>
      <c r="N30" s="59">
        <v>0</v>
      </c>
      <c r="O30" s="59">
        <v>2427.83</v>
      </c>
      <c r="P30" s="59">
        <v>300</v>
      </c>
      <c r="Q30" s="59">
        <v>2560.6999999999998</v>
      </c>
      <c r="R30" s="59">
        <v>3719.65</v>
      </c>
      <c r="S30" s="60">
        <v>2279.84</v>
      </c>
      <c r="T30" s="61">
        <f>SUM(D30:S30)</f>
        <v>27025.7</v>
      </c>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KR30" s="63"/>
      <c r="KS30" s="63"/>
      <c r="KT30" s="63"/>
      <c r="KU30" s="63"/>
      <c r="KV30" s="63"/>
      <c r="KW30" s="63"/>
      <c r="KX30" s="63"/>
      <c r="KY30" s="63"/>
      <c r="KZ30" s="63"/>
      <c r="LA30" s="63"/>
      <c r="LB30" s="63"/>
      <c r="LC30" s="63"/>
      <c r="LD30" s="63"/>
      <c r="LE30" s="63"/>
      <c r="LF30" s="63"/>
      <c r="LG30" s="63"/>
      <c r="LH30" s="63"/>
      <c r="LI30" s="63"/>
      <c r="LJ30" s="63"/>
      <c r="LK30" s="63"/>
      <c r="LL30" s="63"/>
      <c r="LM30" s="63"/>
      <c r="LN30" s="63"/>
      <c r="LO30" s="63"/>
      <c r="LP30" s="63"/>
      <c r="LQ30" s="63"/>
      <c r="LR30" s="63"/>
      <c r="LS30" s="63"/>
      <c r="LT30" s="63"/>
      <c r="LU30" s="63"/>
      <c r="LV30" s="63"/>
      <c r="LW30" s="63"/>
      <c r="LX30" s="63"/>
      <c r="LY30" s="63"/>
      <c r="LZ30" s="63"/>
      <c r="MA30" s="63"/>
      <c r="MB30" s="63"/>
      <c r="MC30" s="63"/>
      <c r="MD30" s="63"/>
      <c r="ME30" s="63"/>
      <c r="MF30" s="63"/>
      <c r="MG30" s="63"/>
      <c r="MH30" s="63"/>
      <c r="MI30" s="63"/>
      <c r="MJ30" s="63"/>
      <c r="MK30" s="63"/>
      <c r="ML30" s="63"/>
      <c r="MM30" s="63"/>
      <c r="MN30" s="63"/>
      <c r="MO30" s="63"/>
      <c r="MP30" s="63"/>
      <c r="MQ30" s="63"/>
      <c r="MR30" s="63"/>
      <c r="MS30" s="63"/>
      <c r="MT30" s="63"/>
      <c r="MU30" s="63"/>
      <c r="MV30" s="63"/>
      <c r="MW30" s="63"/>
      <c r="MX30" s="63"/>
      <c r="MY30" s="63"/>
      <c r="MZ30" s="63"/>
      <c r="NA30" s="63"/>
      <c r="NB30" s="63"/>
      <c r="NC30" s="63"/>
      <c r="ND30" s="63"/>
      <c r="NE30" s="63"/>
      <c r="NF30" s="63"/>
      <c r="NG30" s="63"/>
      <c r="NH30" s="63"/>
      <c r="NI30" s="63"/>
      <c r="NJ30" s="63"/>
      <c r="NK30" s="63"/>
      <c r="NL30" s="63"/>
      <c r="NM30" s="63"/>
      <c r="NN30" s="63"/>
      <c r="NO30" s="63"/>
      <c r="NP30" s="63"/>
      <c r="NQ30" s="63"/>
      <c r="NR30" s="63"/>
      <c r="NS30" s="63"/>
      <c r="NT30" s="63"/>
      <c r="NU30" s="63"/>
      <c r="NV30" s="63"/>
      <c r="NW30" s="63"/>
      <c r="NX30" s="63"/>
      <c r="NY30" s="63"/>
      <c r="NZ30" s="63"/>
      <c r="OA30" s="63"/>
      <c r="OB30" s="63"/>
      <c r="OC30" s="63"/>
      <c r="OD30" s="63"/>
      <c r="OE30" s="63"/>
      <c r="OF30" s="63"/>
      <c r="OG30" s="63"/>
      <c r="OH30" s="63"/>
      <c r="OI30" s="63"/>
      <c r="OJ30" s="63"/>
      <c r="OK30" s="63"/>
      <c r="OL30" s="63"/>
      <c r="OM30" s="63"/>
    </row>
    <row r="31" spans="1:485" x14ac:dyDescent="0.25">
      <c r="A31" s="77" t="s">
        <v>34</v>
      </c>
      <c r="B31" s="80">
        <v>45183</v>
      </c>
      <c r="C31" s="58">
        <v>25</v>
      </c>
      <c r="D31" s="81">
        <v>1354.59</v>
      </c>
      <c r="E31" s="81">
        <v>459.39</v>
      </c>
      <c r="F31" s="81">
        <v>4923.62</v>
      </c>
      <c r="G31" s="81">
        <v>812.76</v>
      </c>
      <c r="H31" s="81">
        <v>412.27</v>
      </c>
      <c r="I31" s="81">
        <v>777.41</v>
      </c>
      <c r="J31" s="81">
        <v>0</v>
      </c>
      <c r="K31" s="81">
        <v>0</v>
      </c>
      <c r="L31" s="81">
        <v>0</v>
      </c>
      <c r="M31" s="81">
        <v>270.92</v>
      </c>
      <c r="N31" s="81"/>
      <c r="O31" s="81">
        <v>1503.58</v>
      </c>
      <c r="P31" s="81">
        <v>200</v>
      </c>
      <c r="Q31" s="81">
        <v>1698.73</v>
      </c>
      <c r="R31" s="81">
        <v>2277.66</v>
      </c>
      <c r="S31" s="82">
        <v>1513.81</v>
      </c>
      <c r="T31" s="61">
        <f>SUM(D31:S31)</f>
        <v>16204.74</v>
      </c>
    </row>
    <row r="32" spans="1:485" s="56" customFormat="1" x14ac:dyDescent="0.25">
      <c r="A32" s="31" t="s">
        <v>35</v>
      </c>
      <c r="B32" s="57">
        <v>45160</v>
      </c>
      <c r="C32" s="58">
        <v>84</v>
      </c>
      <c r="D32" s="59">
        <v>7812.04</v>
      </c>
      <c r="E32" s="59">
        <v>8831.02</v>
      </c>
      <c r="F32" s="59">
        <v>32907.08</v>
      </c>
      <c r="G32" s="59">
        <v>4075.86</v>
      </c>
      <c r="H32" s="59">
        <v>2717.23</v>
      </c>
      <c r="I32" s="59">
        <v>611.37</v>
      </c>
      <c r="J32" s="59">
        <v>0</v>
      </c>
      <c r="K32" s="59">
        <v>985</v>
      </c>
      <c r="L32" s="59">
        <v>128.08000000000001</v>
      </c>
      <c r="M32" s="59">
        <v>0</v>
      </c>
      <c r="N32" s="59">
        <v>0</v>
      </c>
      <c r="O32" s="59">
        <v>8076.91</v>
      </c>
      <c r="P32" s="59">
        <v>1512</v>
      </c>
      <c r="Q32" s="59">
        <v>9378.4500000000007</v>
      </c>
      <c r="R32" s="59">
        <v>13659.85</v>
      </c>
      <c r="S32" s="60">
        <v>8004.67</v>
      </c>
      <c r="T32" s="61">
        <f>SUM(D32:S32)</f>
        <v>98699.560000000012</v>
      </c>
      <c r="U32" s="57"/>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KR32" s="28"/>
      <c r="KS32" s="28"/>
      <c r="KT32" s="28"/>
      <c r="KU32" s="28"/>
      <c r="KV32" s="28"/>
      <c r="KW32" s="28"/>
      <c r="KX32" s="28"/>
      <c r="KY32" s="28"/>
      <c r="KZ32" s="28"/>
      <c r="LA32" s="28"/>
      <c r="LB32" s="28"/>
      <c r="LC32" s="28"/>
      <c r="LD32" s="28"/>
      <c r="LE32" s="28"/>
      <c r="LF32" s="28"/>
      <c r="LG32" s="28"/>
      <c r="LH32" s="28"/>
      <c r="LI32" s="28"/>
      <c r="LJ32" s="28"/>
      <c r="LK32" s="28"/>
      <c r="LL32" s="28"/>
      <c r="LM32" s="28"/>
      <c r="LN32" s="28"/>
      <c r="LO32" s="28"/>
      <c r="LP32" s="28"/>
      <c r="LQ32" s="28"/>
      <c r="LR32" s="28"/>
      <c r="LS32" s="28"/>
      <c r="LT32" s="28"/>
      <c r="LU32" s="28"/>
      <c r="LV32" s="28"/>
      <c r="LW32" s="28"/>
      <c r="LX32" s="28"/>
      <c r="LY32" s="28"/>
      <c r="LZ32" s="28"/>
      <c r="MA32" s="28"/>
      <c r="MB32" s="28"/>
      <c r="MC32" s="28"/>
      <c r="MD32" s="28"/>
      <c r="ME32" s="28"/>
      <c r="MF32" s="28"/>
      <c r="MG32" s="28"/>
      <c r="MH32" s="28"/>
      <c r="MI32" s="28"/>
      <c r="MJ32" s="28"/>
      <c r="MK32" s="28"/>
      <c r="ML32" s="28"/>
      <c r="MM32" s="28"/>
      <c r="MN32" s="28"/>
      <c r="MO32" s="28"/>
      <c r="MP32" s="28"/>
      <c r="MQ32" s="28"/>
      <c r="MR32" s="28"/>
      <c r="MS32" s="28"/>
      <c r="MT32" s="28"/>
      <c r="MU32" s="28"/>
      <c r="MV32" s="28"/>
      <c r="MW32" s="28"/>
      <c r="MX32" s="28"/>
      <c r="MY32" s="28"/>
      <c r="MZ32" s="28"/>
      <c r="NA32" s="28"/>
      <c r="NB32" s="28"/>
      <c r="NC32" s="28"/>
      <c r="ND32" s="28"/>
      <c r="NE32" s="28"/>
      <c r="NF32" s="28"/>
      <c r="NG32" s="28"/>
      <c r="NH32" s="28"/>
      <c r="NI32" s="28"/>
      <c r="NJ32" s="28"/>
      <c r="NK32" s="28"/>
      <c r="NL32" s="28"/>
      <c r="NM32" s="28"/>
      <c r="NN32" s="28"/>
      <c r="NO32" s="28"/>
      <c r="NP32" s="28"/>
      <c r="NQ32" s="28"/>
      <c r="NR32" s="28"/>
      <c r="NS32" s="28"/>
      <c r="NT32" s="28"/>
      <c r="NU32" s="28"/>
      <c r="NV32" s="28"/>
      <c r="NW32" s="28"/>
      <c r="NX32" s="28"/>
      <c r="NY32" s="28"/>
      <c r="NZ32" s="28"/>
      <c r="OA32" s="28"/>
      <c r="OB32" s="28"/>
      <c r="OC32" s="28"/>
      <c r="OD32" s="28"/>
      <c r="OE32" s="28"/>
      <c r="OF32" s="28"/>
      <c r="OG32" s="28"/>
      <c r="OH32" s="28"/>
      <c r="OI32" s="28"/>
      <c r="OJ32" s="28"/>
      <c r="OK32" s="28"/>
      <c r="OL32" s="28"/>
      <c r="OM32" s="28"/>
    </row>
    <row r="33" spans="1:403" s="56" customFormat="1" x14ac:dyDescent="0.25">
      <c r="A33" s="31" t="s">
        <v>36</v>
      </c>
      <c r="B33" s="57">
        <v>45181</v>
      </c>
      <c r="C33" s="58">
        <v>57</v>
      </c>
      <c r="D33" s="59">
        <v>3993.35</v>
      </c>
      <c r="E33" s="59">
        <v>4757.2299999999996</v>
      </c>
      <c r="F33" s="59">
        <v>15868.87</v>
      </c>
      <c r="G33" s="59">
        <v>2683.02</v>
      </c>
      <c r="H33" s="59">
        <v>868.17</v>
      </c>
      <c r="I33" s="59">
        <v>659.81</v>
      </c>
      <c r="J33" s="59"/>
      <c r="K33" s="59">
        <v>1943.87</v>
      </c>
      <c r="L33" s="59">
        <v>22.21</v>
      </c>
      <c r="M33" s="59">
        <v>347.24</v>
      </c>
      <c r="N33" s="59">
        <v>2847.35</v>
      </c>
      <c r="O33" s="59">
        <v>4394.1000000000004</v>
      </c>
      <c r="P33" s="59">
        <v>0</v>
      </c>
      <c r="Q33" s="59"/>
      <c r="R33" s="59">
        <v>6855.22</v>
      </c>
      <c r="S33" s="60">
        <v>3969.1</v>
      </c>
      <c r="T33" s="61">
        <v>49209.54</v>
      </c>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KR33" s="28"/>
      <c r="KS33" s="28"/>
      <c r="KT33" s="28"/>
      <c r="KU33" s="28"/>
      <c r="KV33" s="28"/>
      <c r="KW33" s="28"/>
      <c r="KX33" s="28"/>
      <c r="KY33" s="28"/>
      <c r="KZ33" s="28"/>
      <c r="LA33" s="28"/>
      <c r="LB33" s="28"/>
      <c r="LC33" s="28"/>
      <c r="LD33" s="28"/>
      <c r="LE33" s="28"/>
      <c r="LF33" s="28"/>
      <c r="LG33" s="28"/>
      <c r="LH33" s="28"/>
      <c r="LI33" s="28"/>
      <c r="LJ33" s="28"/>
      <c r="LK33" s="28"/>
      <c r="LL33" s="28"/>
      <c r="LM33" s="28"/>
      <c r="LN33" s="28"/>
      <c r="LO33" s="28"/>
      <c r="LP33" s="28"/>
      <c r="LQ33" s="28"/>
      <c r="LR33" s="28"/>
      <c r="LS33" s="28"/>
      <c r="LT33" s="28"/>
      <c r="LU33" s="28"/>
      <c r="LV33" s="28"/>
      <c r="LW33" s="28"/>
      <c r="LX33" s="28"/>
      <c r="LY33" s="28"/>
      <c r="LZ33" s="28"/>
      <c r="MA33" s="28"/>
      <c r="MB33" s="28"/>
      <c r="MC33" s="28"/>
      <c r="MD33" s="28"/>
      <c r="ME33" s="28"/>
      <c r="MF33" s="28"/>
      <c r="MG33" s="28"/>
      <c r="MH33" s="28"/>
      <c r="MI33" s="28"/>
      <c r="MJ33" s="28"/>
      <c r="MK33" s="28"/>
      <c r="ML33" s="28"/>
      <c r="MM33" s="28"/>
      <c r="MN33" s="28"/>
      <c r="MO33" s="28"/>
      <c r="MP33" s="28"/>
      <c r="MQ33" s="28"/>
      <c r="MR33" s="28"/>
      <c r="MS33" s="28"/>
      <c r="MT33" s="28"/>
      <c r="MU33" s="28"/>
      <c r="MV33" s="28"/>
      <c r="MW33" s="28"/>
      <c r="MX33" s="28"/>
      <c r="MY33" s="28"/>
      <c r="MZ33" s="28"/>
      <c r="NA33" s="28"/>
      <c r="NB33" s="28"/>
      <c r="NC33" s="28"/>
      <c r="ND33" s="28"/>
      <c r="NE33" s="28"/>
      <c r="NF33" s="28"/>
      <c r="NG33" s="28"/>
      <c r="NH33" s="28"/>
      <c r="NI33" s="28"/>
      <c r="NJ33" s="28"/>
      <c r="NK33" s="28"/>
      <c r="NL33" s="28"/>
      <c r="NM33" s="28"/>
      <c r="NN33" s="28"/>
      <c r="NO33" s="28"/>
      <c r="NP33" s="28"/>
      <c r="NQ33" s="28"/>
      <c r="NR33" s="28"/>
      <c r="NS33" s="28"/>
      <c r="NT33" s="28"/>
      <c r="NU33" s="28"/>
      <c r="NV33" s="28"/>
      <c r="NW33" s="28"/>
      <c r="NX33" s="28"/>
      <c r="NY33" s="28"/>
      <c r="NZ33" s="28"/>
      <c r="OA33" s="28"/>
      <c r="OB33" s="28"/>
      <c r="OC33" s="28"/>
      <c r="OD33" s="28"/>
      <c r="OE33" s="28"/>
      <c r="OF33" s="28"/>
      <c r="OG33" s="28"/>
      <c r="OH33" s="28"/>
      <c r="OI33" s="28"/>
      <c r="OJ33" s="28"/>
      <c r="OK33" s="28"/>
      <c r="OL33" s="28"/>
      <c r="OM33" s="28"/>
    </row>
    <row r="34" spans="1:403" x14ac:dyDescent="0.25">
      <c r="A34" s="31" t="s">
        <v>37</v>
      </c>
      <c r="B34" s="57">
        <v>45168</v>
      </c>
      <c r="C34" s="58">
        <v>34</v>
      </c>
      <c r="D34" s="59"/>
      <c r="E34" s="59"/>
      <c r="F34" s="59"/>
      <c r="G34" s="59"/>
      <c r="H34" s="59"/>
      <c r="I34" s="59"/>
      <c r="J34" s="59"/>
      <c r="K34" s="59"/>
      <c r="L34" s="59"/>
      <c r="M34" s="59"/>
      <c r="N34" s="59"/>
      <c r="O34" s="59"/>
      <c r="P34" s="59"/>
      <c r="Q34" s="59"/>
      <c r="R34" s="59"/>
      <c r="S34" s="60"/>
      <c r="T34" s="61">
        <f>SUM(D34:S34)</f>
        <v>0</v>
      </c>
    </row>
    <row r="35" spans="1:403" s="56" customFormat="1" x14ac:dyDescent="0.25">
      <c r="A35" s="31" t="s">
        <v>38</v>
      </c>
      <c r="B35" s="57">
        <v>45163</v>
      </c>
      <c r="C35" s="58">
        <v>34</v>
      </c>
      <c r="D35" s="59">
        <v>1471.99</v>
      </c>
      <c r="E35" s="59">
        <v>1074.55</v>
      </c>
      <c r="F35" s="59">
        <v>6357.69</v>
      </c>
      <c r="G35" s="59">
        <v>1535.06</v>
      </c>
      <c r="H35" s="59">
        <v>1023.37</v>
      </c>
      <c r="I35" s="59">
        <v>869.86</v>
      </c>
      <c r="J35" s="59">
        <v>0</v>
      </c>
      <c r="K35" s="59">
        <v>0</v>
      </c>
      <c r="L35" s="59">
        <v>69.02</v>
      </c>
      <c r="M35" s="59">
        <v>191.88</v>
      </c>
      <c r="N35" s="59">
        <v>1279.22</v>
      </c>
      <c r="O35" s="59">
        <v>2134.83</v>
      </c>
      <c r="P35" s="59">
        <v>190</v>
      </c>
      <c r="Q35" s="59">
        <v>2256.87</v>
      </c>
      <c r="R35" s="59">
        <v>3225.75</v>
      </c>
      <c r="S35" s="60">
        <v>2182.92</v>
      </c>
      <c r="T35" s="61">
        <f>SUM(D35:S35)</f>
        <v>23863.010000000002</v>
      </c>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KR35" s="28"/>
      <c r="KS35" s="28"/>
      <c r="KT35" s="28"/>
      <c r="KU35" s="28"/>
      <c r="KV35" s="28"/>
      <c r="KW35" s="28"/>
      <c r="KX35" s="28"/>
      <c r="KY35" s="28"/>
      <c r="KZ35" s="28"/>
      <c r="LA35" s="28"/>
      <c r="LB35" s="28"/>
      <c r="LC35" s="28"/>
      <c r="LD35" s="28"/>
      <c r="LE35" s="28"/>
      <c r="LF35" s="28"/>
      <c r="LG35" s="28"/>
      <c r="LH35" s="28"/>
      <c r="LI35" s="28"/>
      <c r="LJ35" s="28"/>
      <c r="LK35" s="28"/>
      <c r="LL35" s="28"/>
      <c r="LM35" s="28"/>
      <c r="LN35" s="28"/>
      <c r="LO35" s="28"/>
      <c r="LP35" s="28"/>
      <c r="LQ35" s="28"/>
      <c r="LR35" s="28"/>
      <c r="LS35" s="28"/>
      <c r="LT35" s="28"/>
      <c r="LU35" s="28"/>
      <c r="LV35" s="28"/>
      <c r="LW35" s="28"/>
      <c r="LX35" s="28"/>
      <c r="LY35" s="28"/>
      <c r="LZ35" s="28"/>
      <c r="MA35" s="28"/>
      <c r="MB35" s="28"/>
      <c r="MC35" s="28"/>
      <c r="MD35" s="28"/>
      <c r="ME35" s="28"/>
      <c r="MF35" s="28"/>
      <c r="MG35" s="28"/>
      <c r="MH35" s="28"/>
      <c r="MI35" s="28"/>
      <c r="MJ35" s="28"/>
      <c r="MK35" s="28"/>
      <c r="ML35" s="28"/>
      <c r="MM35" s="28"/>
      <c r="MN35" s="28"/>
      <c r="MO35" s="28"/>
      <c r="MP35" s="28"/>
      <c r="MQ35" s="28"/>
      <c r="MR35" s="28"/>
      <c r="MS35" s="28"/>
      <c r="MT35" s="28"/>
      <c r="MU35" s="28"/>
      <c r="MV35" s="28"/>
      <c r="MW35" s="28"/>
      <c r="MX35" s="28"/>
      <c r="MY35" s="28"/>
      <c r="MZ35" s="28"/>
      <c r="NA35" s="28"/>
      <c r="NB35" s="28"/>
      <c r="NC35" s="28"/>
      <c r="ND35" s="28"/>
      <c r="NE35" s="28"/>
      <c r="NF35" s="28"/>
      <c r="NG35" s="28"/>
      <c r="NH35" s="28"/>
      <c r="NI35" s="28"/>
      <c r="NJ35" s="28"/>
      <c r="NK35" s="28"/>
      <c r="NL35" s="28"/>
      <c r="NM35" s="28"/>
      <c r="NN35" s="28"/>
      <c r="NO35" s="28"/>
      <c r="NP35" s="28"/>
      <c r="NQ35" s="28"/>
      <c r="NR35" s="28"/>
      <c r="NS35" s="28"/>
      <c r="NT35" s="28"/>
      <c r="NU35" s="28"/>
      <c r="NV35" s="28"/>
      <c r="NW35" s="28"/>
      <c r="NX35" s="28"/>
      <c r="NY35" s="28"/>
      <c r="NZ35" s="28"/>
      <c r="OA35" s="28"/>
      <c r="OB35" s="28"/>
      <c r="OC35" s="28"/>
      <c r="OD35" s="28"/>
      <c r="OE35" s="28"/>
      <c r="OF35" s="28"/>
      <c r="OG35" s="28"/>
      <c r="OH35" s="28"/>
      <c r="OI35" s="28"/>
      <c r="OJ35" s="28"/>
      <c r="OK35" s="28"/>
      <c r="OL35" s="28"/>
      <c r="OM35" s="28"/>
    </row>
    <row r="36" spans="1:403" s="56" customFormat="1" x14ac:dyDescent="0.25">
      <c r="A36" s="31" t="s">
        <v>39</v>
      </c>
      <c r="B36" s="57">
        <v>45128</v>
      </c>
      <c r="C36" s="58">
        <v>454</v>
      </c>
      <c r="D36" s="59">
        <v>50423.95</v>
      </c>
      <c r="E36" s="59">
        <v>37755.279999999999</v>
      </c>
      <c r="F36" s="59">
        <v>34455.279999999999</v>
      </c>
      <c r="G36" s="59">
        <v>60262.25</v>
      </c>
      <c r="H36" s="59">
        <v>11400.09</v>
      </c>
      <c r="I36" s="59">
        <v>1753.86</v>
      </c>
      <c r="J36" s="59">
        <v>0</v>
      </c>
      <c r="K36" s="59">
        <v>0</v>
      </c>
      <c r="L36" s="59">
        <v>26307.9</v>
      </c>
      <c r="M36" s="59">
        <v>263.17</v>
      </c>
      <c r="N36" s="59">
        <v>0</v>
      </c>
      <c r="O36" s="59">
        <v>70229.009999999995</v>
      </c>
      <c r="P36" s="59">
        <v>11088</v>
      </c>
      <c r="Q36" s="59">
        <v>79479.350000000006</v>
      </c>
      <c r="R36" s="59">
        <v>122962.71</v>
      </c>
      <c r="S36" s="60">
        <v>65402.37</v>
      </c>
      <c r="T36" s="61">
        <f>SUM(D36:S36)</f>
        <v>571783.22000000009</v>
      </c>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KR36" s="28"/>
      <c r="KS36" s="28"/>
      <c r="KT36" s="28"/>
      <c r="KU36" s="28"/>
      <c r="KV36" s="28"/>
      <c r="KW36" s="28"/>
      <c r="KX36" s="28"/>
      <c r="KY36" s="28"/>
      <c r="KZ36" s="28"/>
      <c r="LA36" s="28"/>
      <c r="LB36" s="28"/>
      <c r="LC36" s="28"/>
      <c r="LD36" s="28"/>
      <c r="LE36" s="28"/>
      <c r="LF36" s="28"/>
      <c r="LG36" s="28"/>
      <c r="LH36" s="28"/>
      <c r="LI36" s="28"/>
      <c r="LJ36" s="28"/>
      <c r="LK36" s="28"/>
      <c r="LL36" s="28"/>
      <c r="LM36" s="28"/>
      <c r="LN36" s="28"/>
      <c r="LO36" s="28"/>
      <c r="LP36" s="28"/>
      <c r="LQ36" s="28"/>
      <c r="LR36" s="28"/>
      <c r="LS36" s="28"/>
      <c r="LT36" s="28"/>
      <c r="LU36" s="28"/>
      <c r="LV36" s="28"/>
      <c r="LW36" s="28"/>
      <c r="LX36" s="28"/>
      <c r="LY36" s="28"/>
      <c r="LZ36" s="28"/>
      <c r="MA36" s="28"/>
      <c r="MB36" s="28"/>
      <c r="MC36" s="28"/>
      <c r="MD36" s="28"/>
      <c r="ME36" s="28"/>
      <c r="MF36" s="28"/>
      <c r="MG36" s="28"/>
      <c r="MH36" s="28"/>
      <c r="MI36" s="28"/>
      <c r="MJ36" s="28"/>
      <c r="MK36" s="28"/>
      <c r="ML36" s="28"/>
      <c r="MM36" s="28"/>
      <c r="MN36" s="28"/>
      <c r="MO36" s="28"/>
      <c r="MP36" s="28"/>
      <c r="MQ36" s="28"/>
      <c r="MR36" s="28"/>
      <c r="MS36" s="28"/>
      <c r="MT36" s="28"/>
      <c r="MU36" s="28"/>
      <c r="MV36" s="28"/>
      <c r="MW36" s="28"/>
      <c r="MX36" s="28"/>
      <c r="MY36" s="28"/>
      <c r="MZ36" s="28"/>
      <c r="NA36" s="28"/>
      <c r="NB36" s="28"/>
      <c r="NC36" s="28"/>
      <c r="ND36" s="28"/>
      <c r="NE36" s="28"/>
      <c r="NF36" s="28"/>
      <c r="NG36" s="28"/>
      <c r="NH36" s="28"/>
      <c r="NI36" s="28"/>
      <c r="NJ36" s="28"/>
      <c r="NK36" s="28"/>
      <c r="NL36" s="28"/>
      <c r="NM36" s="28"/>
      <c r="NN36" s="28"/>
      <c r="NO36" s="28"/>
      <c r="NP36" s="28"/>
      <c r="NQ36" s="28"/>
      <c r="NR36" s="28"/>
      <c r="NS36" s="28"/>
      <c r="NT36" s="28"/>
      <c r="NU36" s="28"/>
      <c r="NV36" s="28"/>
      <c r="NW36" s="28"/>
      <c r="NX36" s="28"/>
      <c r="NY36" s="28"/>
      <c r="NZ36" s="28"/>
      <c r="OA36" s="28"/>
      <c r="OB36" s="28"/>
      <c r="OC36" s="28"/>
      <c r="OD36" s="28"/>
      <c r="OE36" s="28"/>
      <c r="OF36" s="28"/>
      <c r="OG36" s="28"/>
      <c r="OH36" s="28"/>
      <c r="OI36" s="28"/>
      <c r="OJ36" s="28"/>
      <c r="OK36" s="28"/>
      <c r="OL36" s="28"/>
      <c r="OM36" s="28"/>
    </row>
    <row r="37" spans="1:403" s="56" customFormat="1" x14ac:dyDescent="0.25">
      <c r="A37" s="31" t="s">
        <v>40</v>
      </c>
      <c r="B37" s="57">
        <v>45156</v>
      </c>
      <c r="C37" s="58">
        <v>57</v>
      </c>
      <c r="D37" s="59">
        <v>2595.09</v>
      </c>
      <c r="E37" s="59">
        <v>3384.9</v>
      </c>
      <c r="F37" s="59">
        <v>10109.56</v>
      </c>
      <c r="G37" s="59">
        <v>2030.94</v>
      </c>
      <c r="H37" s="59">
        <v>1128.3</v>
      </c>
      <c r="I37" s="59">
        <v>1038.05</v>
      </c>
      <c r="J37" s="59">
        <v>0</v>
      </c>
      <c r="K37" s="59">
        <v>145.44</v>
      </c>
      <c r="L37" s="59">
        <v>11.14</v>
      </c>
      <c r="M37" s="59">
        <v>338.49</v>
      </c>
      <c r="N37" s="59">
        <v>1940.59</v>
      </c>
      <c r="O37" s="59">
        <v>3250.63</v>
      </c>
      <c r="P37" s="59">
        <v>1140</v>
      </c>
      <c r="Q37" s="59">
        <v>3684.52</v>
      </c>
      <c r="R37" s="59">
        <v>5281.42</v>
      </c>
      <c r="S37" s="60">
        <v>3495.7</v>
      </c>
      <c r="T37" s="61">
        <f>SUM(D37:S37)</f>
        <v>39574.769999999997</v>
      </c>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KR37" s="28"/>
      <c r="KS37" s="28"/>
      <c r="KT37" s="28"/>
      <c r="KU37" s="28"/>
      <c r="KV37" s="28"/>
      <c r="KW37" s="28"/>
      <c r="KX37" s="28"/>
      <c r="KY37" s="28"/>
      <c r="KZ37" s="28"/>
      <c r="LA37" s="28"/>
      <c r="LB37" s="28"/>
      <c r="LC37" s="28"/>
      <c r="LD37" s="28"/>
      <c r="LE37" s="28"/>
      <c r="LF37" s="28"/>
      <c r="LG37" s="28"/>
      <c r="LH37" s="28"/>
      <c r="LI37" s="28"/>
      <c r="LJ37" s="28"/>
      <c r="LK37" s="28"/>
      <c r="LL37" s="28"/>
      <c r="LM37" s="28"/>
      <c r="LN37" s="28"/>
      <c r="LO37" s="28"/>
      <c r="LP37" s="28"/>
      <c r="LQ37" s="28"/>
      <c r="LR37" s="28"/>
      <c r="LS37" s="28"/>
      <c r="LT37" s="28"/>
      <c r="LU37" s="28"/>
      <c r="LV37" s="28"/>
      <c r="LW37" s="28"/>
      <c r="LX37" s="28"/>
      <c r="LY37" s="28"/>
      <c r="LZ37" s="28"/>
      <c r="MA37" s="28"/>
      <c r="MB37" s="28"/>
      <c r="MC37" s="28"/>
      <c r="MD37" s="28"/>
      <c r="ME37" s="28"/>
      <c r="MF37" s="28"/>
      <c r="MG37" s="28"/>
      <c r="MH37" s="28"/>
      <c r="MI37" s="28"/>
      <c r="MJ37" s="28"/>
      <c r="MK37" s="28"/>
      <c r="ML37" s="28"/>
      <c r="MM37" s="28"/>
      <c r="MN37" s="28"/>
      <c r="MO37" s="28"/>
      <c r="MP37" s="28"/>
      <c r="MQ37" s="28"/>
      <c r="MR37" s="28"/>
      <c r="MS37" s="28"/>
      <c r="MT37" s="28"/>
      <c r="MU37" s="28"/>
      <c r="MV37" s="28"/>
      <c r="MW37" s="28"/>
      <c r="MX37" s="28"/>
      <c r="MY37" s="28"/>
      <c r="MZ37" s="28"/>
      <c r="NA37" s="28"/>
      <c r="NB37" s="28"/>
      <c r="NC37" s="28"/>
      <c r="ND37" s="28"/>
      <c r="NE37" s="28"/>
      <c r="NF37" s="28"/>
      <c r="NG37" s="28"/>
      <c r="NH37" s="28"/>
      <c r="NI37" s="28"/>
      <c r="NJ37" s="28"/>
      <c r="NK37" s="28"/>
      <c r="NL37" s="28"/>
      <c r="NM37" s="28"/>
      <c r="NN37" s="28"/>
      <c r="NO37" s="28"/>
      <c r="NP37" s="28"/>
      <c r="NQ37" s="28"/>
      <c r="NR37" s="28"/>
      <c r="NS37" s="28"/>
      <c r="NT37" s="28"/>
      <c r="NU37" s="28"/>
      <c r="NV37" s="28"/>
      <c r="NW37" s="28"/>
      <c r="NX37" s="28"/>
      <c r="NY37" s="28"/>
      <c r="NZ37" s="28"/>
      <c r="OA37" s="28"/>
      <c r="OB37" s="28"/>
      <c r="OC37" s="28"/>
      <c r="OD37" s="28"/>
      <c r="OE37" s="28"/>
      <c r="OF37" s="28"/>
      <c r="OG37" s="28"/>
      <c r="OH37" s="28"/>
      <c r="OI37" s="28"/>
      <c r="OJ37" s="28"/>
      <c r="OK37" s="28"/>
      <c r="OL37" s="28"/>
      <c r="OM37" s="28"/>
    </row>
    <row r="38" spans="1:403" s="56" customFormat="1" x14ac:dyDescent="0.25">
      <c r="A38" s="31" t="s">
        <v>41</v>
      </c>
      <c r="B38" s="57">
        <v>45190</v>
      </c>
      <c r="C38" s="58">
        <v>178</v>
      </c>
      <c r="D38" s="59">
        <v>0</v>
      </c>
      <c r="E38" s="59">
        <v>0</v>
      </c>
      <c r="F38" s="59">
        <v>0</v>
      </c>
      <c r="G38" s="59">
        <v>0</v>
      </c>
      <c r="H38" s="59">
        <v>0</v>
      </c>
      <c r="I38" s="59">
        <v>0</v>
      </c>
      <c r="J38" s="59">
        <v>0</v>
      </c>
      <c r="K38" s="59">
        <v>0</v>
      </c>
      <c r="L38" s="59">
        <v>0</v>
      </c>
      <c r="M38" s="59">
        <v>0</v>
      </c>
      <c r="N38" s="59">
        <v>0</v>
      </c>
      <c r="O38" s="59">
        <v>0</v>
      </c>
      <c r="P38" s="59">
        <v>0</v>
      </c>
      <c r="Q38" s="59">
        <v>23779.18</v>
      </c>
      <c r="R38" s="59">
        <v>0</v>
      </c>
      <c r="S38" s="60"/>
      <c r="T38" s="61">
        <v>234127.55</v>
      </c>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KR38" s="28"/>
      <c r="KS38" s="28"/>
      <c r="KT38" s="28"/>
      <c r="KU38" s="28"/>
      <c r="KV38" s="28"/>
      <c r="KW38" s="28"/>
      <c r="KX38" s="28"/>
      <c r="KY38" s="28"/>
      <c r="KZ38" s="28"/>
      <c r="LA38" s="28"/>
      <c r="LB38" s="28"/>
      <c r="LC38" s="28"/>
      <c r="LD38" s="28"/>
      <c r="LE38" s="28"/>
      <c r="LF38" s="28"/>
      <c r="LG38" s="28"/>
      <c r="LH38" s="28"/>
      <c r="LI38" s="28"/>
      <c r="LJ38" s="28"/>
      <c r="LK38" s="28"/>
      <c r="LL38" s="28"/>
      <c r="LM38" s="28"/>
      <c r="LN38" s="28"/>
      <c r="LO38" s="28"/>
      <c r="LP38" s="28"/>
      <c r="LQ38" s="28"/>
      <c r="LR38" s="28"/>
      <c r="LS38" s="28"/>
      <c r="LT38" s="28"/>
      <c r="LU38" s="28"/>
      <c r="LV38" s="28"/>
      <c r="LW38" s="28"/>
      <c r="LX38" s="28"/>
      <c r="LY38" s="28"/>
      <c r="LZ38" s="28"/>
      <c r="MA38" s="28"/>
      <c r="MB38" s="28"/>
      <c r="MC38" s="28"/>
      <c r="MD38" s="28"/>
      <c r="ME38" s="28"/>
      <c r="MF38" s="28"/>
      <c r="MG38" s="28"/>
      <c r="MH38" s="28"/>
      <c r="MI38" s="28"/>
      <c r="MJ38" s="28"/>
      <c r="MK38" s="28"/>
      <c r="ML38" s="28"/>
      <c r="MM38" s="28"/>
      <c r="MN38" s="28"/>
      <c r="MO38" s="28"/>
      <c r="MP38" s="28"/>
      <c r="MQ38" s="28"/>
      <c r="MR38" s="28"/>
      <c r="MS38" s="28"/>
      <c r="MT38" s="28"/>
      <c r="MU38" s="28"/>
      <c r="MV38" s="28"/>
      <c r="MW38" s="28"/>
      <c r="MX38" s="28"/>
      <c r="MY38" s="28"/>
      <c r="MZ38" s="28"/>
      <c r="NA38" s="28"/>
      <c r="NB38" s="28"/>
      <c r="NC38" s="28"/>
      <c r="ND38" s="28"/>
      <c r="NE38" s="28"/>
      <c r="NF38" s="28"/>
      <c r="NG38" s="28"/>
      <c r="NH38" s="28"/>
      <c r="NI38" s="28"/>
      <c r="NJ38" s="28"/>
      <c r="NK38" s="28"/>
      <c r="NL38" s="28"/>
      <c r="NM38" s="28"/>
      <c r="NN38" s="28"/>
      <c r="NO38" s="28"/>
      <c r="NP38" s="28"/>
      <c r="NQ38" s="28"/>
      <c r="NR38" s="28"/>
      <c r="NS38" s="28"/>
      <c r="NT38" s="28"/>
      <c r="NU38" s="28"/>
      <c r="NV38" s="28"/>
      <c r="NW38" s="28"/>
      <c r="NX38" s="28"/>
      <c r="NY38" s="28"/>
      <c r="NZ38" s="28"/>
      <c r="OA38" s="28"/>
      <c r="OB38" s="28"/>
      <c r="OC38" s="28"/>
      <c r="OD38" s="28"/>
      <c r="OE38" s="28"/>
      <c r="OF38" s="28"/>
      <c r="OG38" s="28"/>
      <c r="OH38" s="28"/>
      <c r="OI38" s="28"/>
      <c r="OJ38" s="28"/>
      <c r="OK38" s="28"/>
      <c r="OL38" s="28"/>
      <c r="OM38" s="28"/>
    </row>
    <row r="39" spans="1:403" s="56" customFormat="1" x14ac:dyDescent="0.25">
      <c r="A39" s="31" t="s">
        <v>42</v>
      </c>
      <c r="B39" s="57">
        <v>45133</v>
      </c>
      <c r="C39" s="58">
        <v>125</v>
      </c>
      <c r="D39" s="59">
        <v>17941.37</v>
      </c>
      <c r="E39" s="59">
        <v>28706.22</v>
      </c>
      <c r="F39" s="59">
        <v>92730.32</v>
      </c>
      <c r="G39" s="59">
        <v>12324.96</v>
      </c>
      <c r="H39" s="59">
        <v>10920.84</v>
      </c>
      <c r="I39" s="59">
        <v>2964.23</v>
      </c>
      <c r="J39" s="59">
        <v>0</v>
      </c>
      <c r="K39" s="59">
        <v>0</v>
      </c>
      <c r="L39" s="59">
        <v>0</v>
      </c>
      <c r="M39" s="59">
        <v>1404.11</v>
      </c>
      <c r="N39" s="59">
        <v>0</v>
      </c>
      <c r="O39" s="59">
        <v>24645.88</v>
      </c>
      <c r="P39" s="59">
        <v>750</v>
      </c>
      <c r="Q39" s="59">
        <v>25032.77</v>
      </c>
      <c r="R39" s="59">
        <v>38645.93</v>
      </c>
      <c r="S39" s="60">
        <v>21077.45</v>
      </c>
      <c r="T39" s="61">
        <f>SUM(D39:S39)</f>
        <v>277144.07999999996</v>
      </c>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row>
    <row r="40" spans="1:403" s="65" customFormat="1" x14ac:dyDescent="0.25">
      <c r="A40" s="31" t="s">
        <v>43</v>
      </c>
      <c r="B40" s="57">
        <v>45153</v>
      </c>
      <c r="C40" s="58">
        <v>0</v>
      </c>
      <c r="D40" s="59">
        <v>0</v>
      </c>
      <c r="E40" s="59">
        <v>0</v>
      </c>
      <c r="F40" s="59">
        <v>0</v>
      </c>
      <c r="G40" s="59">
        <v>0</v>
      </c>
      <c r="H40" s="59">
        <v>0</v>
      </c>
      <c r="I40" s="59">
        <v>0</v>
      </c>
      <c r="J40" s="59">
        <v>0</v>
      </c>
      <c r="K40" s="59">
        <v>0</v>
      </c>
      <c r="L40" s="59">
        <v>0</v>
      </c>
      <c r="M40" s="59">
        <v>0</v>
      </c>
      <c r="N40" s="59">
        <v>0</v>
      </c>
      <c r="O40" s="59">
        <v>0</v>
      </c>
      <c r="P40" s="59">
        <v>0</v>
      </c>
      <c r="Q40" s="59">
        <v>0</v>
      </c>
      <c r="R40" s="59">
        <v>0</v>
      </c>
      <c r="S40" s="60">
        <v>0</v>
      </c>
      <c r="T40" s="61">
        <v>0</v>
      </c>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row>
    <row r="41" spans="1:403" s="56" customFormat="1" x14ac:dyDescent="0.25">
      <c r="A41" s="31" t="s">
        <v>44</v>
      </c>
      <c r="B41" s="57">
        <v>45134</v>
      </c>
      <c r="C41" s="58">
        <v>20</v>
      </c>
      <c r="D41" s="59">
        <v>1991.24</v>
      </c>
      <c r="E41" s="59">
        <v>1541.04</v>
      </c>
      <c r="F41" s="59">
        <v>11237.04</v>
      </c>
      <c r="G41" s="59">
        <v>1835.39</v>
      </c>
      <c r="H41" s="59">
        <v>952.34</v>
      </c>
      <c r="I41" s="59">
        <v>917.69</v>
      </c>
      <c r="J41" s="59"/>
      <c r="K41" s="59">
        <v>337.4</v>
      </c>
      <c r="L41" s="59">
        <v>1494.74</v>
      </c>
      <c r="M41" s="59">
        <v>155.84</v>
      </c>
      <c r="N41" s="59"/>
      <c r="O41" s="59">
        <v>3110.16</v>
      </c>
      <c r="P41" s="59">
        <v>260</v>
      </c>
      <c r="Q41" s="59">
        <v>3063.32</v>
      </c>
      <c r="R41" s="59">
        <v>4734.4799999999996</v>
      </c>
      <c r="S41" s="60">
        <v>2547.2600000000002</v>
      </c>
      <c r="T41" s="61">
        <f>SUM(D41:S41)</f>
        <v>34177.94</v>
      </c>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c r="GV41" s="28"/>
      <c r="GW41" s="28"/>
      <c r="GX41" s="28"/>
      <c r="GY41" s="28"/>
      <c r="GZ41" s="28"/>
      <c r="HA41" s="28"/>
      <c r="HB41" s="28"/>
      <c r="HC41" s="28"/>
    </row>
    <row r="42" spans="1:403" s="56" customFormat="1" x14ac:dyDescent="0.25">
      <c r="A42" s="31" t="s">
        <v>45</v>
      </c>
      <c r="B42" s="57">
        <v>45147</v>
      </c>
      <c r="C42" s="58">
        <v>59</v>
      </c>
      <c r="D42" s="149">
        <v>4406.08</v>
      </c>
      <c r="E42" s="149">
        <v>3026.78</v>
      </c>
      <c r="F42" s="149">
        <v>24980.51</v>
      </c>
      <c r="G42" s="149">
        <v>2528.71</v>
      </c>
      <c r="H42" s="149">
        <v>1455.92</v>
      </c>
      <c r="I42" s="149">
        <v>1762.43</v>
      </c>
      <c r="J42" s="149">
        <v>898.2</v>
      </c>
      <c r="K42" s="149">
        <v>2381.5</v>
      </c>
      <c r="L42" s="149">
        <v>1046</v>
      </c>
      <c r="M42" s="149">
        <v>318.02</v>
      </c>
      <c r="N42" s="149" t="s">
        <v>174</v>
      </c>
      <c r="O42" s="149">
        <v>6096.97</v>
      </c>
      <c r="P42" s="149">
        <v>754</v>
      </c>
      <c r="Q42" s="149">
        <v>6905.61</v>
      </c>
      <c r="R42" s="149">
        <v>9815.56</v>
      </c>
      <c r="S42" s="149">
        <v>5777.77</v>
      </c>
      <c r="T42" s="150">
        <f>SUM(D42:S42)</f>
        <v>72154.06</v>
      </c>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c r="HB42" s="28"/>
      <c r="HC42" s="28"/>
    </row>
    <row r="43" spans="1:403" s="56" customFormat="1" x14ac:dyDescent="0.25">
      <c r="A43" s="31" t="s">
        <v>46</v>
      </c>
      <c r="B43" s="57">
        <v>45145</v>
      </c>
      <c r="C43" s="58">
        <v>55</v>
      </c>
      <c r="D43" s="59">
        <v>3699.62</v>
      </c>
      <c r="E43" s="59">
        <v>3860.42</v>
      </c>
      <c r="F43" s="59">
        <v>20632.79</v>
      </c>
      <c r="G43" s="59">
        <v>3313.56</v>
      </c>
      <c r="H43" s="59">
        <v>868.61</v>
      </c>
      <c r="I43" s="59">
        <v>2637.97</v>
      </c>
      <c r="J43" s="59">
        <v>514.70000000000005</v>
      </c>
      <c r="K43" s="59">
        <v>1400</v>
      </c>
      <c r="L43" s="59">
        <v>11.46</v>
      </c>
      <c r="M43" s="59">
        <v>321.39999999999998</v>
      </c>
      <c r="N43" s="59"/>
      <c r="O43" s="59">
        <v>5425.09</v>
      </c>
      <c r="P43" s="59">
        <v>385</v>
      </c>
      <c r="Q43" s="59">
        <v>6046.76</v>
      </c>
      <c r="R43" s="59">
        <v>8771.6299999999992</v>
      </c>
      <c r="S43" s="60">
        <v>5155.7299999999996</v>
      </c>
      <c r="T43" s="61">
        <f t="shared" ref="T43:T50" si="3">SUM(D43:S43)</f>
        <v>63044.739999999991</v>
      </c>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c r="GL43" s="28"/>
      <c r="GM43" s="28"/>
      <c r="GN43" s="28"/>
      <c r="GO43" s="28"/>
      <c r="GP43" s="28"/>
      <c r="GQ43" s="28"/>
      <c r="GR43" s="28"/>
      <c r="GS43" s="28"/>
      <c r="GT43" s="28"/>
      <c r="GU43" s="28"/>
      <c r="GV43" s="28"/>
      <c r="GW43" s="28"/>
      <c r="GX43" s="28"/>
      <c r="GY43" s="28"/>
      <c r="GZ43" s="28"/>
      <c r="HA43" s="28"/>
      <c r="HB43" s="28"/>
      <c r="HC43" s="28"/>
    </row>
    <row r="44" spans="1:403" s="56" customFormat="1" x14ac:dyDescent="0.25">
      <c r="A44" s="31" t="s">
        <v>47</v>
      </c>
      <c r="B44" s="57">
        <v>45160</v>
      </c>
      <c r="C44" s="58">
        <v>69</v>
      </c>
      <c r="D44" s="59">
        <v>6189.72</v>
      </c>
      <c r="E44" s="59">
        <v>5328.52</v>
      </c>
      <c r="F44" s="59">
        <v>20811.509999999998</v>
      </c>
      <c r="G44" s="59">
        <v>2960.3</v>
      </c>
      <c r="H44" s="59">
        <v>1883.63</v>
      </c>
      <c r="I44" s="59">
        <v>2099.1</v>
      </c>
      <c r="J44" s="59">
        <v>0</v>
      </c>
      <c r="K44" s="59">
        <v>1980.19</v>
      </c>
      <c r="L44" s="59">
        <v>1340.67</v>
      </c>
      <c r="M44" s="59">
        <v>180.36</v>
      </c>
      <c r="N44" s="59">
        <v>0</v>
      </c>
      <c r="O44" s="59">
        <v>6166.09</v>
      </c>
      <c r="P44" s="59">
        <v>483</v>
      </c>
      <c r="Q44" s="59">
        <v>6936.53</v>
      </c>
      <c r="R44" s="59">
        <v>10077.959999999999</v>
      </c>
      <c r="S44" s="60">
        <v>6004.96</v>
      </c>
      <c r="T44" s="61">
        <f t="shared" si="3"/>
        <v>72442.539999999994</v>
      </c>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row>
    <row r="45" spans="1:403" s="66" customFormat="1" x14ac:dyDescent="0.25">
      <c r="A45" s="31" t="s">
        <v>48</v>
      </c>
      <c r="B45" s="57">
        <v>45153</v>
      </c>
      <c r="C45" s="58">
        <v>68</v>
      </c>
      <c r="D45" s="59">
        <v>4695.3900000000003</v>
      </c>
      <c r="E45" s="59">
        <v>2735.59</v>
      </c>
      <c r="F45" s="59">
        <v>18546.23</v>
      </c>
      <c r="G45" s="59">
        <v>1755.62</v>
      </c>
      <c r="H45" s="59">
        <v>1061.57</v>
      </c>
      <c r="I45" s="59">
        <v>2368.1</v>
      </c>
      <c r="J45" s="59">
        <v>1518.98</v>
      </c>
      <c r="K45" s="59">
        <v>2160</v>
      </c>
      <c r="L45" s="59"/>
      <c r="M45" s="59">
        <v>139.75</v>
      </c>
      <c r="N45" s="59">
        <v>0</v>
      </c>
      <c r="O45" s="59">
        <v>5082.03</v>
      </c>
      <c r="P45" s="59">
        <v>384</v>
      </c>
      <c r="Q45" s="59">
        <v>5437.82</v>
      </c>
      <c r="R45" s="59">
        <v>8196.7000000000007</v>
      </c>
      <c r="S45" s="60">
        <v>4994.3500000000004</v>
      </c>
      <c r="T45" s="61">
        <f t="shared" si="3"/>
        <v>59076.13</v>
      </c>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c r="GU45" s="28"/>
      <c r="GV45" s="28"/>
      <c r="GW45" s="28"/>
      <c r="GX45" s="28"/>
      <c r="GY45" s="28"/>
      <c r="GZ45" s="28"/>
      <c r="HA45" s="28"/>
      <c r="HB45" s="28"/>
      <c r="HC45" s="28"/>
    </row>
    <row r="46" spans="1:403" s="56" customFormat="1" x14ac:dyDescent="0.25">
      <c r="A46" s="31" t="s">
        <v>49</v>
      </c>
      <c r="B46" s="57">
        <v>45190</v>
      </c>
      <c r="C46" s="58">
        <v>24</v>
      </c>
      <c r="D46" s="59">
        <v>1019.32</v>
      </c>
      <c r="E46" s="59">
        <v>921.35</v>
      </c>
      <c r="F46" s="59">
        <v>4882.97</v>
      </c>
      <c r="G46" s="59">
        <v>761.52</v>
      </c>
      <c r="H46" s="59">
        <v>301.33</v>
      </c>
      <c r="I46" s="59">
        <v>491.34</v>
      </c>
      <c r="J46" s="59">
        <v>0</v>
      </c>
      <c r="K46" s="59">
        <v>0</v>
      </c>
      <c r="L46" s="59">
        <v>0.6</v>
      </c>
      <c r="M46" s="59"/>
      <c r="N46" s="59">
        <v>859.62</v>
      </c>
      <c r="O46" s="59">
        <v>1405.89</v>
      </c>
      <c r="P46" s="59">
        <v>120</v>
      </c>
      <c r="Q46" s="59">
        <v>1630.26</v>
      </c>
      <c r="R46" s="59">
        <v>2171.77</v>
      </c>
      <c r="S46" s="60">
        <v>1518.9</v>
      </c>
      <c r="T46" s="61">
        <f t="shared" si="3"/>
        <v>16084.87</v>
      </c>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row>
    <row r="47" spans="1:403" s="56" customFormat="1" x14ac:dyDescent="0.25">
      <c r="A47" s="31" t="s">
        <v>50</v>
      </c>
      <c r="B47" s="57">
        <v>45166</v>
      </c>
      <c r="C47" s="58">
        <v>184</v>
      </c>
      <c r="D47" s="59">
        <v>13850.89</v>
      </c>
      <c r="E47" s="59">
        <v>38782.61</v>
      </c>
      <c r="F47" s="59">
        <v>102204</v>
      </c>
      <c r="G47" s="59">
        <v>10598.95</v>
      </c>
      <c r="H47" s="59">
        <v>9635.42</v>
      </c>
      <c r="I47" s="59">
        <v>2770.18</v>
      </c>
      <c r="J47" s="59">
        <v>0</v>
      </c>
      <c r="K47" s="59">
        <v>7250.23</v>
      </c>
      <c r="L47" s="59">
        <v>4560.59</v>
      </c>
      <c r="M47" s="59">
        <v>25.84</v>
      </c>
      <c r="N47" s="59">
        <v>5133.53</v>
      </c>
      <c r="O47" s="59">
        <v>28418.13</v>
      </c>
      <c r="P47" s="59">
        <v>3864</v>
      </c>
      <c r="Q47" s="59">
        <v>31616.880000000001</v>
      </c>
      <c r="R47" s="59">
        <v>45491.08</v>
      </c>
      <c r="S47" s="60">
        <v>25321.51</v>
      </c>
      <c r="T47" s="61">
        <f t="shared" si="3"/>
        <v>329523.84000000003</v>
      </c>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row>
    <row r="48" spans="1:403" s="56" customFormat="1" x14ac:dyDescent="0.25">
      <c r="A48" s="31" t="s">
        <v>51</v>
      </c>
      <c r="B48" s="80">
        <v>45182</v>
      </c>
      <c r="C48" s="58">
        <v>15</v>
      </c>
      <c r="D48" s="59">
        <v>887.21</v>
      </c>
      <c r="E48" s="59">
        <v>324.04000000000002</v>
      </c>
      <c r="F48" s="59">
        <v>5624.25</v>
      </c>
      <c r="G48" s="59">
        <v>871.8</v>
      </c>
      <c r="H48" s="59">
        <v>327.91</v>
      </c>
      <c r="I48" s="59">
        <v>0</v>
      </c>
      <c r="J48" s="59">
        <v>0</v>
      </c>
      <c r="K48" s="59">
        <v>0</v>
      </c>
      <c r="L48" s="59">
        <v>2.25</v>
      </c>
      <c r="M48" s="59">
        <v>0</v>
      </c>
      <c r="N48" s="59">
        <v>0</v>
      </c>
      <c r="O48" s="59">
        <v>1089.75</v>
      </c>
      <c r="P48" s="59">
        <v>210</v>
      </c>
      <c r="Q48" s="59">
        <v>1399.62</v>
      </c>
      <c r="R48" s="59">
        <v>1887.4</v>
      </c>
      <c r="S48" s="60">
        <v>1168.71</v>
      </c>
      <c r="T48" s="61">
        <f t="shared" si="3"/>
        <v>13792.939999999999</v>
      </c>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row>
    <row r="49" spans="1:211" s="67" customFormat="1" x14ac:dyDescent="0.25">
      <c r="A49" s="31" t="s">
        <v>52</v>
      </c>
      <c r="B49" s="57">
        <v>45154</v>
      </c>
      <c r="C49" s="58">
        <v>241</v>
      </c>
      <c r="D49" s="59">
        <v>22616.67</v>
      </c>
      <c r="E49" s="59">
        <v>23112.89</v>
      </c>
      <c r="F49" s="59">
        <v>132023.34</v>
      </c>
      <c r="G49" s="59">
        <v>0</v>
      </c>
      <c r="H49" s="59">
        <v>4326.54</v>
      </c>
      <c r="I49" s="59">
        <v>3539.95</v>
      </c>
      <c r="J49" s="59"/>
      <c r="K49" s="59">
        <v>11321.68</v>
      </c>
      <c r="L49" s="59">
        <v>0</v>
      </c>
      <c r="M49" s="59">
        <v>0</v>
      </c>
      <c r="N49" s="59">
        <v>0</v>
      </c>
      <c r="O49" s="59">
        <v>18646.32</v>
      </c>
      <c r="P49" s="59">
        <v>4820</v>
      </c>
      <c r="Q49" s="59">
        <v>5649.74</v>
      </c>
      <c r="R49" s="59">
        <v>39870.29</v>
      </c>
      <c r="S49" s="60">
        <v>22104.1</v>
      </c>
      <c r="T49" s="61">
        <f t="shared" si="3"/>
        <v>288031.51999999996</v>
      </c>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c r="GP49" s="28"/>
      <c r="GQ49" s="28"/>
      <c r="GR49" s="28"/>
      <c r="GS49" s="28"/>
      <c r="GT49" s="28"/>
      <c r="GU49" s="28"/>
      <c r="GV49" s="28"/>
      <c r="GW49" s="28"/>
      <c r="GX49" s="28"/>
      <c r="GY49" s="28"/>
      <c r="GZ49" s="28"/>
      <c r="HA49" s="28"/>
      <c r="HB49" s="28"/>
      <c r="HC49" s="28"/>
    </row>
    <row r="50" spans="1:211" s="56" customFormat="1" x14ac:dyDescent="0.25">
      <c r="A50" s="31" t="s">
        <v>53</v>
      </c>
      <c r="B50" s="57">
        <v>45134</v>
      </c>
      <c r="C50" s="58">
        <v>166</v>
      </c>
      <c r="D50" s="59">
        <v>8993.66</v>
      </c>
      <c r="E50" s="59">
        <v>32455.31</v>
      </c>
      <c r="F50" s="59">
        <v>51719.33</v>
      </c>
      <c r="G50" s="59">
        <v>7820.54</v>
      </c>
      <c r="H50" s="59">
        <v>4301.34</v>
      </c>
      <c r="I50" s="59">
        <v>7820.54</v>
      </c>
      <c r="J50" s="59">
        <v>0</v>
      </c>
      <c r="K50" s="59">
        <v>33.72</v>
      </c>
      <c r="L50" s="59">
        <v>8771.93</v>
      </c>
      <c r="M50" s="59">
        <v>1329.47</v>
      </c>
      <c r="N50" s="59">
        <v>0</v>
      </c>
      <c r="O50" s="59">
        <v>16600.87</v>
      </c>
      <c r="P50" s="59">
        <v>2324</v>
      </c>
      <c r="Q50" s="59">
        <v>18411.47</v>
      </c>
      <c r="R50" s="59">
        <v>24760.82</v>
      </c>
      <c r="S50" s="60">
        <v>16655.66</v>
      </c>
      <c r="T50" s="61">
        <f t="shared" si="3"/>
        <v>201998.66</v>
      </c>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c r="GH50" s="28"/>
      <c r="GI50" s="28"/>
      <c r="GJ50" s="28"/>
      <c r="GK50" s="28"/>
      <c r="GL50" s="28"/>
      <c r="GM50" s="28"/>
      <c r="GN50" s="28"/>
      <c r="GO50" s="28"/>
      <c r="GP50" s="28"/>
      <c r="GQ50" s="28"/>
      <c r="GR50" s="28"/>
      <c r="GS50" s="28"/>
      <c r="GT50" s="28"/>
      <c r="GU50" s="28"/>
      <c r="GV50" s="28"/>
      <c r="GW50" s="28"/>
      <c r="GX50" s="28"/>
      <c r="GY50" s="28"/>
      <c r="GZ50" s="28"/>
      <c r="HA50" s="28"/>
      <c r="HB50" s="28"/>
      <c r="HC50" s="28"/>
    </row>
    <row r="51" spans="1:211" s="56" customFormat="1" x14ac:dyDescent="0.25">
      <c r="A51" s="31" t="s">
        <v>54</v>
      </c>
      <c r="B51" s="57">
        <v>45154</v>
      </c>
      <c r="C51" s="58">
        <v>33</v>
      </c>
      <c r="D51" s="59">
        <v>2388.27</v>
      </c>
      <c r="E51" s="59">
        <v>2525.1799999999998</v>
      </c>
      <c r="F51" s="59">
        <v>11982.77</v>
      </c>
      <c r="G51" s="59">
        <v>1453.72</v>
      </c>
      <c r="H51" s="59">
        <v>934.56</v>
      </c>
      <c r="I51" s="59">
        <v>1370.65</v>
      </c>
      <c r="J51" s="59">
        <v>0</v>
      </c>
      <c r="K51" s="59"/>
      <c r="L51" s="59">
        <v>0</v>
      </c>
      <c r="M51" s="59">
        <v>228.44</v>
      </c>
      <c r="N51" s="59">
        <v>0</v>
      </c>
      <c r="O51" s="59">
        <v>2741.52</v>
      </c>
      <c r="P51" s="59">
        <v>363</v>
      </c>
      <c r="Q51" s="59">
        <v>3073.82</v>
      </c>
      <c r="R51" s="59">
        <v>4470.0600000000004</v>
      </c>
      <c r="S51" s="60">
        <v>6672.07</v>
      </c>
      <c r="T51" s="61">
        <f>SUM(F51:S51)</f>
        <v>33290.61</v>
      </c>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c r="GL51" s="28"/>
      <c r="GM51" s="28"/>
      <c r="GN51" s="28"/>
      <c r="GO51" s="28"/>
      <c r="GP51" s="28"/>
      <c r="GQ51" s="28"/>
      <c r="GR51" s="28"/>
      <c r="GS51" s="28"/>
      <c r="GT51" s="28"/>
      <c r="GU51" s="28"/>
      <c r="GV51" s="28"/>
      <c r="GW51" s="28"/>
      <c r="GX51" s="28"/>
      <c r="GY51" s="28"/>
      <c r="GZ51" s="28"/>
      <c r="HA51" s="28"/>
      <c r="HB51" s="28"/>
      <c r="HC51" s="28"/>
    </row>
    <row r="52" spans="1:211" s="56" customFormat="1" x14ac:dyDescent="0.25">
      <c r="A52" s="31" t="s">
        <v>55</v>
      </c>
      <c r="B52" s="57">
        <v>45162</v>
      </c>
      <c r="C52" s="58">
        <v>48</v>
      </c>
      <c r="D52" s="59">
        <v>2843.62</v>
      </c>
      <c r="E52" s="59">
        <v>2497.4299999999998</v>
      </c>
      <c r="F52" s="59">
        <v>15641</v>
      </c>
      <c r="G52" s="59">
        <v>2349.08</v>
      </c>
      <c r="H52" s="59">
        <v>0</v>
      </c>
      <c r="I52" s="59">
        <v>0</v>
      </c>
      <c r="J52" s="59">
        <v>0</v>
      </c>
      <c r="K52" s="59">
        <v>1295</v>
      </c>
      <c r="L52" s="59">
        <v>2.84</v>
      </c>
      <c r="M52" s="59">
        <v>0</v>
      </c>
      <c r="N52" s="59">
        <v>1805.09</v>
      </c>
      <c r="O52" s="59">
        <v>3947.8</v>
      </c>
      <c r="P52" s="59">
        <v>480</v>
      </c>
      <c r="Q52" s="59">
        <v>4294.6400000000003</v>
      </c>
      <c r="R52" s="59">
        <v>6241.76</v>
      </c>
      <c r="S52" s="60">
        <v>3792.88</v>
      </c>
      <c r="T52" s="61">
        <f t="shared" ref="T52:T59" si="4">SUM(D52:S52)</f>
        <v>45191.14</v>
      </c>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row>
    <row r="53" spans="1:211" x14ac:dyDescent="0.25">
      <c r="A53" s="31" t="s">
        <v>56</v>
      </c>
      <c r="B53" s="57">
        <v>45162</v>
      </c>
      <c r="C53" s="58">
        <v>14</v>
      </c>
      <c r="D53" s="59">
        <v>901.66</v>
      </c>
      <c r="E53" s="59">
        <v>1004</v>
      </c>
      <c r="F53" s="59">
        <v>5229.6000000000004</v>
      </c>
      <c r="G53" s="59">
        <v>769.16</v>
      </c>
      <c r="H53" s="59">
        <v>337.35</v>
      </c>
      <c r="I53" s="59">
        <v>229.4</v>
      </c>
      <c r="J53" s="59"/>
      <c r="K53" s="59">
        <v>383.48</v>
      </c>
      <c r="L53" s="59"/>
      <c r="M53" s="59"/>
      <c r="N53" s="59"/>
      <c r="O53" s="59">
        <v>245.38</v>
      </c>
      <c r="P53" s="59">
        <v>112</v>
      </c>
      <c r="Q53" s="59">
        <v>1185.1400000000001</v>
      </c>
      <c r="R53" s="59">
        <v>1842.24</v>
      </c>
      <c r="S53" s="60">
        <v>1117.0999999999999</v>
      </c>
      <c r="T53" s="61">
        <f t="shared" si="4"/>
        <v>13356.509999999998</v>
      </c>
    </row>
    <row r="54" spans="1:211" s="56" customFormat="1" x14ac:dyDescent="0.25">
      <c r="A54" s="31" t="s">
        <v>57</v>
      </c>
      <c r="B54" s="57">
        <v>45133</v>
      </c>
      <c r="C54" s="58">
        <v>24</v>
      </c>
      <c r="D54" s="59">
        <v>1488.79</v>
      </c>
      <c r="E54" s="59">
        <v>1449.94</v>
      </c>
      <c r="F54" s="59">
        <v>9116.14</v>
      </c>
      <c r="G54" s="59">
        <v>1216.92</v>
      </c>
      <c r="H54" s="59">
        <v>517.84</v>
      </c>
      <c r="I54" s="59">
        <v>556.67999999999995</v>
      </c>
      <c r="J54" s="59">
        <v>98.59</v>
      </c>
      <c r="K54" s="59">
        <v>665</v>
      </c>
      <c r="L54" s="59">
        <v>57.84</v>
      </c>
      <c r="M54" s="59">
        <v>115.2</v>
      </c>
      <c r="N54" s="59">
        <v>776.76</v>
      </c>
      <c r="O54" s="59">
        <v>2366.11</v>
      </c>
      <c r="P54" s="59">
        <v>288</v>
      </c>
      <c r="Q54" s="59">
        <v>2407.2800000000002</v>
      </c>
      <c r="R54" s="59">
        <v>3693.39</v>
      </c>
      <c r="S54" s="60">
        <v>2206.6999999999998</v>
      </c>
      <c r="T54" s="61">
        <f t="shared" si="4"/>
        <v>27021.18</v>
      </c>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c r="GH54" s="28"/>
      <c r="GI54" s="28"/>
      <c r="GJ54" s="28"/>
      <c r="GK54" s="28"/>
      <c r="GL54" s="28"/>
      <c r="GM54" s="28"/>
      <c r="GN54" s="28"/>
      <c r="GO54" s="28"/>
      <c r="GP54" s="28"/>
      <c r="GQ54" s="28"/>
      <c r="GR54" s="28"/>
      <c r="GS54" s="28"/>
      <c r="GT54" s="28"/>
      <c r="GU54" s="28"/>
      <c r="GV54" s="28"/>
      <c r="GW54" s="28"/>
      <c r="GX54" s="28"/>
      <c r="GY54" s="28"/>
      <c r="GZ54" s="28"/>
      <c r="HA54" s="28"/>
      <c r="HB54" s="28"/>
      <c r="HC54" s="28"/>
    </row>
    <row r="55" spans="1:211" s="56" customFormat="1" x14ac:dyDescent="0.25">
      <c r="A55" s="31" t="s">
        <v>58</v>
      </c>
      <c r="B55" s="57">
        <v>45156</v>
      </c>
      <c r="C55" s="58">
        <v>1</v>
      </c>
      <c r="D55" s="59">
        <v>22.42</v>
      </c>
      <c r="E55" s="59">
        <v>31.59</v>
      </c>
      <c r="F55" s="59">
        <v>117.39</v>
      </c>
      <c r="G55" s="59">
        <v>0</v>
      </c>
      <c r="H55" s="59">
        <v>6.24</v>
      </c>
      <c r="I55" s="59">
        <v>11.31</v>
      </c>
      <c r="J55" s="59">
        <v>0</v>
      </c>
      <c r="K55" s="59">
        <v>50</v>
      </c>
      <c r="L55" s="59">
        <v>9.84</v>
      </c>
      <c r="M55" s="59">
        <v>2.54</v>
      </c>
      <c r="N55" s="59">
        <v>0</v>
      </c>
      <c r="O55" s="59">
        <v>39.08</v>
      </c>
      <c r="P55" s="59">
        <v>11</v>
      </c>
      <c r="Q55" s="59">
        <v>40.92</v>
      </c>
      <c r="R55" s="59">
        <v>60.46</v>
      </c>
      <c r="S55" s="60">
        <v>44.23</v>
      </c>
      <c r="T55" s="61">
        <f t="shared" si="4"/>
        <v>447.02000000000004</v>
      </c>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c r="GC55" s="28"/>
      <c r="GD55" s="28"/>
      <c r="GE55" s="28"/>
      <c r="GF55" s="28"/>
      <c r="GG55" s="28"/>
      <c r="GH55" s="28"/>
      <c r="GI55" s="28"/>
      <c r="GJ55" s="28"/>
      <c r="GK55" s="28"/>
      <c r="GL55" s="28"/>
      <c r="GM55" s="28"/>
      <c r="GN55" s="28"/>
      <c r="GO55" s="28"/>
      <c r="GP55" s="28"/>
      <c r="GQ55" s="28"/>
      <c r="GR55" s="28"/>
      <c r="GS55" s="28"/>
      <c r="GT55" s="28"/>
      <c r="GU55" s="28"/>
      <c r="GV55" s="28"/>
      <c r="GW55" s="28"/>
      <c r="GX55" s="28"/>
      <c r="GY55" s="28"/>
      <c r="GZ55" s="28"/>
      <c r="HA55" s="28"/>
      <c r="HB55" s="28"/>
      <c r="HC55" s="28"/>
    </row>
    <row r="56" spans="1:211" s="56" customFormat="1" x14ac:dyDescent="0.25">
      <c r="A56" s="31" t="s">
        <v>59</v>
      </c>
      <c r="B56" s="57">
        <v>45180</v>
      </c>
      <c r="C56" s="58">
        <v>101</v>
      </c>
      <c r="D56" s="59">
        <v>6118.39</v>
      </c>
      <c r="E56" s="59">
        <v>7714.48</v>
      </c>
      <c r="F56" s="59">
        <v>36615.370000000003</v>
      </c>
      <c r="G56" s="59">
        <v>0</v>
      </c>
      <c r="H56" s="59">
        <v>2074.9699999999998</v>
      </c>
      <c r="I56" s="59">
        <v>1390.24</v>
      </c>
      <c r="J56" s="59">
        <v>0</v>
      </c>
      <c r="K56" s="59">
        <v>6118.39</v>
      </c>
      <c r="L56" s="59">
        <v>0</v>
      </c>
      <c r="M56" s="59">
        <v>0</v>
      </c>
      <c r="N56" s="59">
        <v>0</v>
      </c>
      <c r="O56" s="59">
        <v>830</v>
      </c>
      <c r="P56" s="59"/>
      <c r="Q56" s="59">
        <v>55858.48</v>
      </c>
      <c r="R56" s="59">
        <v>11772.74</v>
      </c>
      <c r="S56" s="60">
        <v>1494</v>
      </c>
      <c r="T56" s="61">
        <f t="shared" si="4"/>
        <v>129987.06000000001</v>
      </c>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c r="GN56" s="28"/>
      <c r="GO56" s="28"/>
      <c r="GP56" s="28"/>
      <c r="GQ56" s="28"/>
      <c r="GR56" s="28"/>
      <c r="GS56" s="28"/>
      <c r="GT56" s="28"/>
      <c r="GU56" s="28"/>
      <c r="GV56" s="28"/>
      <c r="GW56" s="28"/>
      <c r="GX56" s="28"/>
      <c r="GY56" s="28"/>
      <c r="GZ56" s="28"/>
      <c r="HA56" s="28"/>
      <c r="HB56" s="28"/>
      <c r="HC56" s="28"/>
    </row>
    <row r="57" spans="1:211" s="56" customFormat="1" x14ac:dyDescent="0.25">
      <c r="A57" s="31" t="s">
        <v>60</v>
      </c>
      <c r="B57" s="57">
        <v>45147</v>
      </c>
      <c r="C57" s="58">
        <v>49</v>
      </c>
      <c r="D57" s="59">
        <v>6118.39</v>
      </c>
      <c r="E57" s="59">
        <v>7714.48</v>
      </c>
      <c r="F57" s="59">
        <v>36615.370000000003</v>
      </c>
      <c r="G57" s="59">
        <v>2067.94</v>
      </c>
      <c r="H57" s="59">
        <v>1115.8</v>
      </c>
      <c r="I57" s="59">
        <v>1428.18</v>
      </c>
      <c r="J57" s="59">
        <v>0</v>
      </c>
      <c r="K57" s="59">
        <v>11.07</v>
      </c>
      <c r="L57" s="59">
        <v>0</v>
      </c>
      <c r="M57" s="59">
        <v>401.67</v>
      </c>
      <c r="N57" s="59">
        <v>967.01</v>
      </c>
      <c r="O57" s="59">
        <v>6889.53</v>
      </c>
      <c r="P57" s="59">
        <v>1945</v>
      </c>
      <c r="Q57" s="59">
        <v>2861.66</v>
      </c>
      <c r="R57" s="59">
        <v>4196.51</v>
      </c>
      <c r="S57" s="60">
        <v>830</v>
      </c>
      <c r="T57" s="61">
        <f t="shared" si="4"/>
        <v>73162.61</v>
      </c>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c r="GN57" s="28"/>
      <c r="GO57" s="28"/>
      <c r="GP57" s="28"/>
      <c r="GQ57" s="28"/>
      <c r="GR57" s="28"/>
      <c r="GS57" s="28"/>
      <c r="GT57" s="28"/>
      <c r="GU57" s="28"/>
      <c r="GV57" s="28"/>
      <c r="GW57" s="28"/>
      <c r="GX57" s="28"/>
      <c r="GY57" s="28"/>
      <c r="GZ57" s="28"/>
      <c r="HA57" s="28"/>
      <c r="HB57" s="28"/>
      <c r="HC57" s="28"/>
    </row>
    <row r="58" spans="1:211" s="56" customFormat="1" x14ac:dyDescent="0.25">
      <c r="A58" s="31" t="s">
        <v>61</v>
      </c>
      <c r="B58" s="57">
        <v>45128</v>
      </c>
      <c r="C58" s="58">
        <v>856</v>
      </c>
      <c r="D58" s="68">
        <v>191825.39</v>
      </c>
      <c r="E58" s="59">
        <v>206837.22</v>
      </c>
      <c r="F58" s="68">
        <v>1272717.3999999999</v>
      </c>
      <c r="G58" s="59">
        <v>0</v>
      </c>
      <c r="H58" s="59">
        <v>0</v>
      </c>
      <c r="I58" s="59">
        <v>144121.47</v>
      </c>
      <c r="J58" s="59">
        <v>0</v>
      </c>
      <c r="K58" s="69">
        <v>207604.66</v>
      </c>
      <c r="L58" s="59"/>
      <c r="M58" s="59">
        <v>0</v>
      </c>
      <c r="N58" s="59">
        <v>0</v>
      </c>
      <c r="O58" s="59">
        <v>236005.06</v>
      </c>
      <c r="P58" s="59">
        <v>1712</v>
      </c>
      <c r="Q58" s="59"/>
      <c r="R58" s="59">
        <v>406634.26</v>
      </c>
      <c r="S58" s="60">
        <v>240830.56</v>
      </c>
      <c r="T58" s="61">
        <f t="shared" si="4"/>
        <v>2908288.02</v>
      </c>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28"/>
      <c r="GQ58" s="28"/>
      <c r="GR58" s="28"/>
      <c r="GS58" s="28"/>
      <c r="GT58" s="28"/>
      <c r="GU58" s="28"/>
      <c r="GV58" s="28"/>
      <c r="GW58" s="28"/>
      <c r="GX58" s="28"/>
      <c r="GY58" s="28"/>
      <c r="GZ58" s="28"/>
      <c r="HA58" s="28"/>
      <c r="HB58" s="28"/>
      <c r="HC58" s="28"/>
    </row>
    <row r="59" spans="1:211" s="56" customFormat="1" x14ac:dyDescent="0.25">
      <c r="A59" s="31" t="s">
        <v>62</v>
      </c>
      <c r="B59" s="57">
        <v>45156</v>
      </c>
      <c r="C59" s="58">
        <v>52</v>
      </c>
      <c r="D59" s="59">
        <v>9595.27</v>
      </c>
      <c r="E59" s="59">
        <v>8343.69</v>
      </c>
      <c r="F59" s="59">
        <v>57237.64</v>
      </c>
      <c r="G59" s="59">
        <v>9762.1200000000008</v>
      </c>
      <c r="H59" s="59">
        <v>2503.1</v>
      </c>
      <c r="I59" s="59">
        <v>1393.4</v>
      </c>
      <c r="J59" s="59">
        <v>0</v>
      </c>
      <c r="K59" s="59">
        <v>3437.44</v>
      </c>
      <c r="L59" s="59">
        <v>0</v>
      </c>
      <c r="M59" s="59">
        <v>0</v>
      </c>
      <c r="N59" s="59">
        <v>0</v>
      </c>
      <c r="O59" s="59">
        <v>12609.39</v>
      </c>
      <c r="P59" s="59">
        <v>832</v>
      </c>
      <c r="Q59" s="59">
        <v>14932.71</v>
      </c>
      <c r="R59" s="59">
        <v>21545.05</v>
      </c>
      <c r="S59" s="60">
        <v>11500.55</v>
      </c>
      <c r="T59" s="61">
        <f t="shared" si="4"/>
        <v>153692.35999999999</v>
      </c>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row>
    <row r="60" spans="1:211" s="56" customFormat="1" hidden="1" x14ac:dyDescent="0.25">
      <c r="A60" s="151" t="s">
        <v>63</v>
      </c>
      <c r="B60" s="57">
        <v>45182</v>
      </c>
      <c r="C60" s="152"/>
      <c r="D60" s="153"/>
      <c r="E60" s="153"/>
      <c r="F60" s="153"/>
      <c r="G60" s="153"/>
      <c r="H60" s="153"/>
      <c r="I60" s="153"/>
      <c r="J60" s="153"/>
      <c r="K60" s="153"/>
      <c r="L60" s="153"/>
      <c r="M60" s="153"/>
      <c r="N60" s="153"/>
      <c r="O60" s="153"/>
      <c r="P60" s="153"/>
      <c r="Q60" s="153"/>
      <c r="R60" s="153"/>
      <c r="S60" s="154"/>
      <c r="T60" s="155"/>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c r="GN60" s="28"/>
      <c r="GO60" s="28"/>
      <c r="GP60" s="28"/>
      <c r="GQ60" s="28"/>
      <c r="GR60" s="28"/>
      <c r="GS60" s="28"/>
      <c r="GT60" s="28"/>
      <c r="GU60" s="28"/>
      <c r="GV60" s="28"/>
      <c r="GW60" s="28"/>
      <c r="GX60" s="28"/>
      <c r="GY60" s="28"/>
      <c r="GZ60" s="28"/>
      <c r="HA60" s="28"/>
      <c r="HB60" s="28"/>
      <c r="HC60" s="28"/>
    </row>
    <row r="61" spans="1:211" s="56" customFormat="1" x14ac:dyDescent="0.25">
      <c r="A61" s="31" t="s">
        <v>64</v>
      </c>
      <c r="B61" s="57">
        <v>45133</v>
      </c>
      <c r="C61" s="58">
        <v>269</v>
      </c>
      <c r="D61" s="59">
        <v>32180.48</v>
      </c>
      <c r="E61" s="59">
        <v>40295.129999999997</v>
      </c>
      <c r="F61" s="59">
        <v>220269.97</v>
      </c>
      <c r="G61" s="59">
        <v>30780.97</v>
      </c>
      <c r="H61" s="59">
        <v>6996.05</v>
      </c>
      <c r="I61" s="59">
        <v>3078.28</v>
      </c>
      <c r="J61" s="59">
        <v>0</v>
      </c>
      <c r="K61" s="59">
        <v>13557.79</v>
      </c>
      <c r="L61" s="59">
        <v>2593.9</v>
      </c>
      <c r="M61" s="59">
        <v>5876.55</v>
      </c>
      <c r="N61" s="59">
        <v>0</v>
      </c>
      <c r="O61" s="59">
        <v>48810.17</v>
      </c>
      <c r="P61" s="59">
        <v>2680</v>
      </c>
      <c r="Q61" s="59">
        <v>53163.29</v>
      </c>
      <c r="R61" s="59">
        <v>82296.62</v>
      </c>
      <c r="S61" s="60">
        <v>52984.35</v>
      </c>
      <c r="T61" s="61">
        <f>SUM(D61:S61)</f>
        <v>595563.54999999993</v>
      </c>
      <c r="U61" s="57"/>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c r="GN61" s="28"/>
      <c r="GO61" s="28"/>
      <c r="GP61" s="28"/>
      <c r="GQ61" s="28"/>
      <c r="GR61" s="28"/>
      <c r="GS61" s="28"/>
      <c r="GT61" s="28"/>
      <c r="GU61" s="28"/>
      <c r="GV61" s="28"/>
      <c r="GW61" s="28"/>
      <c r="GX61" s="28"/>
      <c r="GY61" s="28"/>
      <c r="GZ61" s="28"/>
      <c r="HA61" s="28"/>
      <c r="HB61" s="28"/>
      <c r="HC61" s="28"/>
    </row>
    <row r="62" spans="1:211" s="56" customFormat="1" x14ac:dyDescent="0.25">
      <c r="A62" s="31" t="s">
        <v>65</v>
      </c>
      <c r="B62" s="57">
        <v>45189</v>
      </c>
      <c r="C62" s="58">
        <v>2</v>
      </c>
      <c r="D62" s="59">
        <v>4.5999999999999996</v>
      </c>
      <c r="E62" s="59">
        <v>6.96</v>
      </c>
      <c r="F62" s="59">
        <v>27.44</v>
      </c>
      <c r="G62" s="59">
        <v>0</v>
      </c>
      <c r="H62" s="59">
        <v>2.4</v>
      </c>
      <c r="I62" s="59">
        <v>2.4</v>
      </c>
      <c r="J62" s="59">
        <v>0</v>
      </c>
      <c r="K62" s="59">
        <v>0</v>
      </c>
      <c r="L62" s="59">
        <v>0.2</v>
      </c>
      <c r="M62" s="59">
        <v>0.88</v>
      </c>
      <c r="N62" s="59">
        <v>0</v>
      </c>
      <c r="O62" s="59">
        <v>6.95</v>
      </c>
      <c r="P62" s="59">
        <v>22</v>
      </c>
      <c r="Q62" s="59">
        <v>7.87</v>
      </c>
      <c r="R62" s="59">
        <v>10.55</v>
      </c>
      <c r="S62" s="60">
        <v>35.270000000000003</v>
      </c>
      <c r="T62" s="61">
        <f>SUM(D62:S62)</f>
        <v>127.52000000000001</v>
      </c>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c r="EO62" s="28"/>
      <c r="EP62" s="28"/>
      <c r="EQ62" s="28"/>
      <c r="ER62" s="28"/>
      <c r="ES62" s="28"/>
      <c r="ET62" s="28"/>
      <c r="EU62" s="28"/>
      <c r="EV62" s="28"/>
      <c r="EW62" s="28"/>
      <c r="EX62" s="28"/>
      <c r="EY62" s="28"/>
      <c r="EZ62" s="28"/>
      <c r="FA62" s="28"/>
      <c r="FB62" s="28"/>
      <c r="FC62" s="28"/>
      <c r="FD62" s="28"/>
      <c r="FE62" s="28"/>
      <c r="FF62" s="28"/>
      <c r="FG62" s="28"/>
      <c r="FH62" s="28"/>
      <c r="FI62" s="28"/>
      <c r="FJ62" s="28"/>
      <c r="FK62" s="28"/>
      <c r="FL62" s="28"/>
      <c r="FM62" s="28"/>
      <c r="FN62" s="28"/>
      <c r="FO62" s="28"/>
      <c r="FP62" s="28"/>
      <c r="FQ62" s="28"/>
      <c r="FR62" s="28"/>
      <c r="FS62" s="28"/>
      <c r="FT62" s="28"/>
      <c r="FU62" s="28"/>
      <c r="FV62" s="28"/>
      <c r="FW62" s="28"/>
      <c r="FX62" s="28"/>
      <c r="FY62" s="28"/>
      <c r="FZ62" s="28"/>
      <c r="GA62" s="28"/>
      <c r="GB62" s="28"/>
      <c r="GC62" s="28"/>
      <c r="GD62" s="28"/>
      <c r="GE62" s="28"/>
      <c r="GF62" s="28"/>
      <c r="GG62" s="28"/>
      <c r="GH62" s="28"/>
      <c r="GI62" s="28"/>
      <c r="GJ62" s="28"/>
      <c r="GK62" s="28"/>
      <c r="GL62" s="28"/>
      <c r="GM62" s="28"/>
      <c r="GN62" s="28"/>
      <c r="GO62" s="28"/>
      <c r="GP62" s="28"/>
      <c r="GQ62" s="28"/>
      <c r="GR62" s="28"/>
      <c r="GS62" s="28"/>
      <c r="GT62" s="28"/>
      <c r="GU62" s="28"/>
      <c r="GV62" s="28"/>
      <c r="GW62" s="28"/>
      <c r="GX62" s="28"/>
      <c r="GY62" s="28"/>
      <c r="GZ62" s="28"/>
      <c r="HA62" s="28"/>
      <c r="HB62" s="28"/>
      <c r="HC62" s="28"/>
    </row>
    <row r="63" spans="1:211" s="56" customFormat="1" ht="14.25" customHeight="1" x14ac:dyDescent="0.25">
      <c r="A63" s="31" t="s">
        <v>66</v>
      </c>
      <c r="B63" s="57">
        <v>45218</v>
      </c>
      <c r="C63" s="58">
        <v>168</v>
      </c>
      <c r="D63" s="59">
        <v>10662.18</v>
      </c>
      <c r="E63" s="59">
        <v>10105.94</v>
      </c>
      <c r="F63" s="59">
        <v>41420.36</v>
      </c>
      <c r="G63" s="59">
        <v>8251.6299999999992</v>
      </c>
      <c r="H63" s="59">
        <v>3708.57</v>
      </c>
      <c r="I63" s="59">
        <v>55.76</v>
      </c>
      <c r="J63" s="59">
        <v>6490.04</v>
      </c>
      <c r="K63" s="59">
        <v>5155.25</v>
      </c>
      <c r="L63" s="59">
        <v>3245.02</v>
      </c>
      <c r="M63" s="59">
        <v>2039.74</v>
      </c>
      <c r="N63" s="59">
        <v>4543.05</v>
      </c>
      <c r="O63" s="59">
        <v>14853.16</v>
      </c>
      <c r="P63" s="59">
        <v>815</v>
      </c>
      <c r="Q63" s="59">
        <v>17807.3</v>
      </c>
      <c r="R63" s="59">
        <v>22696.9</v>
      </c>
      <c r="S63" s="60">
        <v>13843.49</v>
      </c>
      <c r="T63" s="61">
        <f>SUM(D63:S63)</f>
        <v>165693.39000000001</v>
      </c>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row>
    <row r="64" spans="1:211" s="56" customFormat="1" x14ac:dyDescent="0.25">
      <c r="A64" s="31" t="s">
        <v>67</v>
      </c>
      <c r="B64" s="57">
        <v>45153</v>
      </c>
      <c r="C64" s="58">
        <v>42</v>
      </c>
      <c r="D64" s="59">
        <v>2250.52</v>
      </c>
      <c r="E64" s="59">
        <v>4285.7299999999996</v>
      </c>
      <c r="F64" s="59">
        <v>10136.950000000001</v>
      </c>
      <c r="G64" s="59">
        <v>1115.47</v>
      </c>
      <c r="H64" s="59">
        <v>547.94000000000005</v>
      </c>
      <c r="I64" s="59">
        <v>880.63</v>
      </c>
      <c r="J64" s="59">
        <v>0</v>
      </c>
      <c r="K64" s="59">
        <v>1309.8</v>
      </c>
      <c r="L64" s="59">
        <v>0</v>
      </c>
      <c r="M64" s="59">
        <v>0</v>
      </c>
      <c r="N64" s="59">
        <v>0</v>
      </c>
      <c r="O64" s="59">
        <v>5242.6400000000003</v>
      </c>
      <c r="P64" s="59">
        <v>0</v>
      </c>
      <c r="Q64" s="59">
        <v>0</v>
      </c>
      <c r="R64" s="59">
        <v>4857.67</v>
      </c>
      <c r="S64" s="60">
        <v>4095.67</v>
      </c>
      <c r="T64" s="61">
        <f>SUM(D64:S64)</f>
        <v>34723.019999999997</v>
      </c>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28"/>
      <c r="DY64" s="28"/>
      <c r="DZ64" s="28"/>
      <c r="EA64" s="28"/>
      <c r="EB64" s="28"/>
      <c r="EC64" s="28"/>
      <c r="ED64" s="28"/>
      <c r="EE64" s="28"/>
      <c r="EF64" s="28"/>
      <c r="EG64" s="28"/>
      <c r="EH64" s="28"/>
      <c r="EI64" s="28"/>
      <c r="EJ64" s="28"/>
      <c r="EK64" s="28"/>
      <c r="EL64" s="28"/>
      <c r="EM64" s="28"/>
      <c r="EN64" s="28"/>
      <c r="EO64" s="28"/>
      <c r="EP64" s="28"/>
      <c r="EQ64" s="28"/>
      <c r="ER64" s="28"/>
      <c r="ES64" s="28"/>
      <c r="ET64" s="28"/>
      <c r="EU64" s="28"/>
      <c r="EV64" s="28"/>
      <c r="EW64" s="28"/>
      <c r="EX64" s="28"/>
      <c r="EY64" s="28"/>
      <c r="EZ64" s="28"/>
      <c r="FA64" s="28"/>
      <c r="FB64" s="28"/>
      <c r="FC64" s="28"/>
      <c r="FD64" s="28"/>
      <c r="FE64" s="28"/>
      <c r="FF64" s="28"/>
      <c r="FG64" s="28"/>
      <c r="FH64" s="28"/>
      <c r="FI64" s="28"/>
      <c r="FJ64" s="28"/>
      <c r="FK64" s="28"/>
      <c r="FL64" s="28"/>
      <c r="FM64" s="28"/>
      <c r="FN64" s="28"/>
      <c r="FO64" s="28"/>
      <c r="FP64" s="28"/>
      <c r="FQ64" s="28"/>
      <c r="FR64" s="28"/>
      <c r="FS64" s="28"/>
      <c r="FT64" s="28"/>
      <c r="FU64" s="28"/>
      <c r="FV64" s="28"/>
      <c r="FW64" s="28"/>
      <c r="FX64" s="28"/>
      <c r="FY64" s="28"/>
      <c r="FZ64" s="28"/>
      <c r="GA64" s="28"/>
      <c r="GB64" s="28"/>
      <c r="GC64" s="28"/>
      <c r="GD64" s="28"/>
      <c r="GE64" s="28"/>
      <c r="GF64" s="28"/>
      <c r="GG64" s="28"/>
      <c r="GH64" s="28"/>
      <c r="GI64" s="28"/>
      <c r="GJ64" s="28"/>
      <c r="GK64" s="28"/>
      <c r="GL64" s="28"/>
      <c r="GM64" s="28"/>
      <c r="GN64" s="28"/>
      <c r="GO64" s="28"/>
      <c r="GP64" s="28"/>
      <c r="GQ64" s="28"/>
      <c r="GR64" s="28"/>
      <c r="GS64" s="28"/>
      <c r="GT64" s="28"/>
      <c r="GU64" s="28"/>
      <c r="GV64" s="28"/>
      <c r="GW64" s="28"/>
      <c r="GX64" s="28"/>
      <c r="GY64" s="28"/>
      <c r="GZ64" s="28"/>
      <c r="HA64" s="28"/>
      <c r="HB64" s="28"/>
      <c r="HC64" s="28"/>
    </row>
    <row r="65" spans="1:211" s="56" customFormat="1" hidden="1" x14ac:dyDescent="0.25">
      <c r="A65" s="151" t="s">
        <v>68</v>
      </c>
      <c r="B65" s="57">
        <v>45175</v>
      </c>
      <c r="C65" s="152"/>
      <c r="D65" s="153"/>
      <c r="E65" s="153"/>
      <c r="F65" s="153"/>
      <c r="G65" s="153"/>
      <c r="H65" s="153"/>
      <c r="I65" s="153"/>
      <c r="J65" s="153"/>
      <c r="K65" s="153"/>
      <c r="L65" s="153"/>
      <c r="M65" s="153"/>
      <c r="N65" s="153"/>
      <c r="O65" s="153"/>
      <c r="P65" s="153"/>
      <c r="Q65" s="153"/>
      <c r="R65" s="153"/>
      <c r="S65" s="154"/>
      <c r="T65" s="155"/>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28"/>
      <c r="EF65" s="28"/>
      <c r="EG65" s="28"/>
      <c r="EH65" s="28"/>
      <c r="EI65" s="28"/>
      <c r="EJ65" s="28"/>
      <c r="EK65" s="28"/>
      <c r="EL65" s="28"/>
      <c r="EM65" s="28"/>
      <c r="EN65" s="28"/>
      <c r="EO65" s="28"/>
      <c r="EP65" s="28"/>
      <c r="EQ65" s="28"/>
      <c r="ER65" s="28"/>
      <c r="ES65" s="28"/>
      <c r="ET65" s="28"/>
      <c r="EU65" s="28"/>
      <c r="EV65" s="28"/>
      <c r="EW65" s="28"/>
      <c r="EX65" s="28"/>
      <c r="EY65" s="28"/>
      <c r="EZ65" s="28"/>
      <c r="FA65" s="28"/>
      <c r="FB65" s="28"/>
      <c r="FC65" s="28"/>
      <c r="FD65" s="28"/>
      <c r="FE65" s="28"/>
      <c r="FF65" s="28"/>
      <c r="FG65" s="28"/>
      <c r="FH65" s="28"/>
      <c r="FI65" s="28"/>
      <c r="FJ65" s="28"/>
      <c r="FK65" s="28"/>
      <c r="FL65" s="28"/>
      <c r="FM65" s="28"/>
      <c r="FN65" s="28"/>
      <c r="FO65" s="28"/>
      <c r="FP65" s="28"/>
      <c r="FQ65" s="28"/>
      <c r="FR65" s="28"/>
      <c r="FS65" s="28"/>
      <c r="FT65" s="28"/>
      <c r="FU65" s="28"/>
      <c r="FV65" s="28"/>
      <c r="FW65" s="28"/>
      <c r="FX65" s="28"/>
      <c r="FY65" s="28"/>
      <c r="FZ65" s="28"/>
      <c r="GA65" s="28"/>
      <c r="GB65" s="28"/>
      <c r="GC65" s="28"/>
      <c r="GD65" s="28"/>
      <c r="GE65" s="28"/>
      <c r="GF65" s="28"/>
      <c r="GG65" s="28"/>
      <c r="GH65" s="28"/>
      <c r="GI65" s="28"/>
      <c r="GJ65" s="28"/>
      <c r="GK65" s="28"/>
      <c r="GL65" s="28"/>
      <c r="GM65" s="28"/>
      <c r="GN65" s="28"/>
      <c r="GO65" s="28"/>
      <c r="GP65" s="28"/>
      <c r="GQ65" s="28"/>
      <c r="GR65" s="28"/>
      <c r="GS65" s="28"/>
      <c r="GT65" s="28"/>
      <c r="GU65" s="28"/>
      <c r="GV65" s="28"/>
      <c r="GW65" s="28"/>
      <c r="GX65" s="28"/>
      <c r="GY65" s="28"/>
      <c r="GZ65" s="28"/>
      <c r="HA65" s="28"/>
      <c r="HB65" s="28"/>
      <c r="HC65" s="28"/>
    </row>
    <row r="66" spans="1:211" s="56" customFormat="1" x14ac:dyDescent="0.25">
      <c r="A66" s="31" t="s">
        <v>69</v>
      </c>
      <c r="B66" s="57">
        <v>45189</v>
      </c>
      <c r="C66" s="58">
        <v>94</v>
      </c>
      <c r="D66" s="59">
        <v>8573.58</v>
      </c>
      <c r="E66" s="59">
        <v>12067.1</v>
      </c>
      <c r="F66" s="59">
        <v>42605.64</v>
      </c>
      <c r="G66" s="59">
        <v>9758.2999999999993</v>
      </c>
      <c r="H66" s="59">
        <v>4468.3900000000003</v>
      </c>
      <c r="I66" s="59">
        <v>6032.4</v>
      </c>
      <c r="J66" s="59"/>
      <c r="K66" s="59">
        <v>1472.55</v>
      </c>
      <c r="L66" s="59">
        <v>0</v>
      </c>
      <c r="M66" s="59">
        <v>1787.33</v>
      </c>
      <c r="N66" s="59">
        <v>0</v>
      </c>
      <c r="O66" s="59">
        <v>13222.92</v>
      </c>
      <c r="P66" s="59">
        <v>1006</v>
      </c>
      <c r="Q66" s="59">
        <v>15591.81</v>
      </c>
      <c r="R66" s="59">
        <v>20645.38</v>
      </c>
      <c r="S66" s="60">
        <v>11645.38</v>
      </c>
      <c r="T66" s="61">
        <f>SUM(D66:S66)</f>
        <v>148876.78</v>
      </c>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8"/>
      <c r="EZ66" s="28"/>
      <c r="FA66" s="28"/>
      <c r="FB66" s="28"/>
      <c r="FC66" s="28"/>
      <c r="FD66" s="28"/>
      <c r="FE66" s="28"/>
      <c r="FF66" s="28"/>
      <c r="FG66" s="28"/>
      <c r="FH66" s="28"/>
      <c r="FI66" s="28"/>
      <c r="FJ66" s="28"/>
      <c r="FK66" s="28"/>
      <c r="FL66" s="28"/>
      <c r="FM66" s="28"/>
      <c r="FN66" s="28"/>
      <c r="FO66" s="28"/>
      <c r="FP66" s="28"/>
      <c r="FQ66" s="28"/>
      <c r="FR66" s="28"/>
      <c r="FS66" s="28"/>
      <c r="FT66" s="28"/>
      <c r="FU66" s="28"/>
      <c r="FV66" s="28"/>
      <c r="FW66" s="28"/>
      <c r="FX66" s="28"/>
      <c r="FY66" s="28"/>
      <c r="FZ66" s="28"/>
      <c r="GA66" s="28"/>
      <c r="GB66" s="28"/>
      <c r="GC66" s="28"/>
      <c r="GD66" s="28"/>
      <c r="GE66" s="28"/>
      <c r="GF66" s="28"/>
      <c r="GG66" s="28"/>
      <c r="GH66" s="28"/>
      <c r="GI66" s="28"/>
      <c r="GJ66" s="28"/>
      <c r="GK66" s="28"/>
      <c r="GL66" s="28"/>
      <c r="GM66" s="28"/>
      <c r="GN66" s="28"/>
      <c r="GO66" s="28"/>
      <c r="GP66" s="28"/>
      <c r="GQ66" s="28"/>
      <c r="GR66" s="28"/>
      <c r="GS66" s="28"/>
      <c r="GT66" s="28"/>
      <c r="GU66" s="28"/>
      <c r="GV66" s="28"/>
      <c r="GW66" s="28"/>
      <c r="GX66" s="28"/>
      <c r="GY66" s="28"/>
      <c r="GZ66" s="28"/>
      <c r="HA66" s="28"/>
      <c r="HB66" s="28"/>
      <c r="HC66" s="28"/>
    </row>
    <row r="67" spans="1:211" s="56" customFormat="1" x14ac:dyDescent="0.25">
      <c r="A67" s="31" t="s">
        <v>70</v>
      </c>
      <c r="B67" s="57">
        <v>45197</v>
      </c>
      <c r="C67" s="58">
        <v>43</v>
      </c>
      <c r="D67" s="59">
        <v>2077.4699999999998</v>
      </c>
      <c r="E67" s="59">
        <v>7045.26</v>
      </c>
      <c r="F67" s="59">
        <v>8887.8799999999992</v>
      </c>
      <c r="G67" s="59">
        <v>2261.71</v>
      </c>
      <c r="H67" s="59">
        <v>1445.18</v>
      </c>
      <c r="I67" s="59">
        <v>1336.78</v>
      </c>
      <c r="J67" s="59">
        <v>0</v>
      </c>
      <c r="K67" s="59">
        <v>0</v>
      </c>
      <c r="L67" s="59">
        <v>11.07</v>
      </c>
      <c r="M67" s="59">
        <v>469.69</v>
      </c>
      <c r="N67" s="59">
        <v>0</v>
      </c>
      <c r="O67" s="59">
        <v>4309.71</v>
      </c>
      <c r="P67" s="59">
        <v>430</v>
      </c>
      <c r="Q67" s="59">
        <v>4126.67</v>
      </c>
      <c r="R67" s="59">
        <v>5618.35</v>
      </c>
      <c r="S67" s="60">
        <v>3411.15</v>
      </c>
      <c r="T67" s="61">
        <f>SUM(D67:S67)</f>
        <v>41430.92</v>
      </c>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c r="EO67" s="28"/>
      <c r="EP67" s="28"/>
      <c r="EQ67" s="28"/>
      <c r="ER67" s="28"/>
      <c r="ES67" s="28"/>
      <c r="ET67" s="28"/>
      <c r="EU67" s="28"/>
      <c r="EV67" s="28"/>
      <c r="EW67" s="28"/>
      <c r="EX67" s="28"/>
      <c r="EY67" s="28"/>
      <c r="EZ67" s="28"/>
      <c r="FA67" s="28"/>
      <c r="FB67" s="28"/>
      <c r="FC67" s="28"/>
      <c r="FD67" s="28"/>
      <c r="FE67" s="28"/>
      <c r="FF67" s="28"/>
      <c r="FG67" s="28"/>
      <c r="FH67" s="28"/>
      <c r="FI67" s="28"/>
      <c r="FJ67" s="28"/>
      <c r="FK67" s="28"/>
      <c r="FL67" s="28"/>
      <c r="FM67" s="28"/>
      <c r="FN67" s="28"/>
      <c r="FO67" s="28"/>
      <c r="FP67" s="28"/>
      <c r="FQ67" s="28"/>
      <c r="FR67" s="28"/>
      <c r="FS67" s="28"/>
      <c r="FT67" s="28"/>
      <c r="FU67" s="28"/>
      <c r="FV67" s="28"/>
      <c r="FW67" s="28"/>
      <c r="FX67" s="28"/>
      <c r="FY67" s="28"/>
      <c r="FZ67" s="28"/>
      <c r="GA67" s="28"/>
      <c r="GB67" s="28"/>
      <c r="GC67" s="28"/>
      <c r="GD67" s="28"/>
      <c r="GE67" s="28"/>
      <c r="GF67" s="28"/>
      <c r="GG67" s="28"/>
      <c r="GH67" s="28"/>
      <c r="GI67" s="28"/>
      <c r="GJ67" s="28"/>
      <c r="GK67" s="28"/>
      <c r="GL67" s="28"/>
      <c r="GM67" s="28"/>
      <c r="GN67" s="28"/>
      <c r="GO67" s="28"/>
      <c r="GP67" s="28"/>
      <c r="GQ67" s="28"/>
      <c r="GR67" s="28"/>
      <c r="GS67" s="28"/>
      <c r="GT67" s="28"/>
      <c r="GU67" s="28"/>
      <c r="GV67" s="28"/>
      <c r="GW67" s="28"/>
      <c r="GX67" s="28"/>
      <c r="GY67" s="28"/>
      <c r="GZ67" s="28"/>
      <c r="HA67" s="28"/>
      <c r="HB67" s="28"/>
      <c r="HC67" s="28"/>
    </row>
    <row r="68" spans="1:211" s="56" customFormat="1" x14ac:dyDescent="0.25">
      <c r="A68" s="31" t="s">
        <v>71</v>
      </c>
      <c r="B68" s="57">
        <v>45181</v>
      </c>
      <c r="C68" s="58">
        <v>60</v>
      </c>
      <c r="D68" s="59">
        <v>4987.7299999999996</v>
      </c>
      <c r="E68" s="59">
        <v>9230.7900000000009</v>
      </c>
      <c r="F68" s="59">
        <v>31226.77</v>
      </c>
      <c r="G68" s="59">
        <v>7676.66</v>
      </c>
      <c r="H68" s="59">
        <v>2602.23</v>
      </c>
      <c r="I68" s="59">
        <v>5117.76</v>
      </c>
      <c r="J68" s="59">
        <v>0</v>
      </c>
      <c r="K68" s="59">
        <v>166.09</v>
      </c>
      <c r="L68" s="59">
        <v>56.67</v>
      </c>
      <c r="M68" s="59">
        <v>1084.4100000000001</v>
      </c>
      <c r="N68" s="59">
        <v>0</v>
      </c>
      <c r="O68" s="59">
        <v>7211.3</v>
      </c>
      <c r="P68" s="59">
        <v>0</v>
      </c>
      <c r="Q68" s="59">
        <v>0</v>
      </c>
      <c r="R68" s="59">
        <v>12429.75</v>
      </c>
      <c r="S68" s="60">
        <v>8854.9699999999993</v>
      </c>
      <c r="T68" s="61">
        <f>SUM(D68:S68)</f>
        <v>90645.13</v>
      </c>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c r="EO68" s="28"/>
      <c r="EP68" s="28"/>
      <c r="EQ68" s="28"/>
      <c r="ER68" s="28"/>
      <c r="ES68" s="28"/>
      <c r="ET68" s="28"/>
      <c r="EU68" s="28"/>
      <c r="EV68" s="28"/>
      <c r="EW68" s="28"/>
      <c r="EX68" s="28"/>
      <c r="EY68" s="28"/>
      <c r="EZ68" s="28"/>
      <c r="FA68" s="28"/>
      <c r="FB68" s="28"/>
      <c r="FC68" s="28"/>
      <c r="FD68" s="28"/>
      <c r="FE68" s="28"/>
      <c r="FF68" s="28"/>
      <c r="FG68" s="28"/>
      <c r="FH68" s="28"/>
      <c r="FI68" s="28"/>
      <c r="FJ68" s="28"/>
      <c r="FK68" s="28"/>
      <c r="FL68" s="28"/>
      <c r="FM68" s="28"/>
      <c r="FN68" s="28"/>
      <c r="FO68" s="28"/>
      <c r="FP68" s="28"/>
      <c r="FQ68" s="28"/>
      <c r="FR68" s="28"/>
      <c r="FS68" s="28"/>
      <c r="FT68" s="28"/>
      <c r="FU68" s="28"/>
      <c r="FV68" s="28"/>
      <c r="FW68" s="28"/>
      <c r="FX68" s="28"/>
      <c r="FY68" s="28"/>
      <c r="FZ68" s="28"/>
      <c r="GA68" s="28"/>
      <c r="GB68" s="28"/>
      <c r="GC68" s="28"/>
      <c r="GD68" s="28"/>
      <c r="GE68" s="28"/>
      <c r="GF68" s="28"/>
      <c r="GG68" s="28"/>
      <c r="GH68" s="28"/>
      <c r="GI68" s="28"/>
      <c r="GJ68" s="28"/>
      <c r="GK68" s="28"/>
      <c r="GL68" s="28"/>
      <c r="GM68" s="28"/>
      <c r="GN68" s="28"/>
      <c r="GO68" s="28"/>
      <c r="GP68" s="28"/>
      <c r="GQ68" s="28"/>
      <c r="GR68" s="28"/>
      <c r="GS68" s="28"/>
      <c r="GT68" s="28"/>
      <c r="GU68" s="28"/>
      <c r="GV68" s="28"/>
      <c r="GW68" s="28"/>
      <c r="GX68" s="28"/>
      <c r="GY68" s="28"/>
      <c r="GZ68" s="28"/>
      <c r="HA68" s="28"/>
      <c r="HB68" s="28"/>
      <c r="HC68" s="28"/>
    </row>
    <row r="69" spans="1:211" s="56" customFormat="1" x14ac:dyDescent="0.25">
      <c r="A69" s="77" t="s">
        <v>72</v>
      </c>
      <c r="B69" s="57">
        <v>45125</v>
      </c>
      <c r="C69" s="58">
        <v>28</v>
      </c>
      <c r="D69" s="59">
        <v>2283.4899999999998</v>
      </c>
      <c r="E69" s="59">
        <v>2422.4899999999998</v>
      </c>
      <c r="F69" s="59" t="s">
        <v>324</v>
      </c>
      <c r="G69" s="59">
        <v>814.13</v>
      </c>
      <c r="H69" s="59">
        <v>595.70000000000005</v>
      </c>
      <c r="I69" s="59">
        <v>774.39</v>
      </c>
      <c r="J69" s="59">
        <v>0</v>
      </c>
      <c r="K69" s="59">
        <v>493.91</v>
      </c>
      <c r="L69" s="59">
        <v>0</v>
      </c>
      <c r="M69" s="59">
        <v>0</v>
      </c>
      <c r="N69" s="59"/>
      <c r="O69" s="59"/>
      <c r="P69" s="59"/>
      <c r="Q69" s="59"/>
      <c r="R69" s="59"/>
      <c r="S69" s="60"/>
      <c r="T69" s="61"/>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28"/>
      <c r="DY69" s="28"/>
      <c r="DZ69" s="28"/>
      <c r="EA69" s="28"/>
      <c r="EB69" s="28"/>
      <c r="EC69" s="28"/>
      <c r="ED69" s="28"/>
      <c r="EE69" s="28"/>
      <c r="EF69" s="28"/>
      <c r="EG69" s="28"/>
      <c r="EH69" s="28"/>
      <c r="EI69" s="28"/>
      <c r="EJ69" s="28"/>
      <c r="EK69" s="28"/>
      <c r="EL69" s="28"/>
      <c r="EM69" s="28"/>
      <c r="EN69" s="28"/>
      <c r="EO69" s="28"/>
      <c r="EP69" s="28"/>
      <c r="EQ69" s="28"/>
      <c r="ER69" s="28"/>
      <c r="ES69" s="28"/>
      <c r="ET69" s="28"/>
      <c r="EU69" s="28"/>
      <c r="EV69" s="28"/>
      <c r="EW69" s="28"/>
      <c r="EX69" s="28"/>
      <c r="EY69" s="28"/>
      <c r="EZ69" s="28"/>
      <c r="FA69" s="28"/>
      <c r="FB69" s="28"/>
      <c r="FC69" s="28"/>
      <c r="FD69" s="28"/>
      <c r="FE69" s="28"/>
      <c r="FF69" s="28"/>
      <c r="FG69" s="28"/>
      <c r="FH69" s="28"/>
      <c r="FI69" s="28"/>
      <c r="FJ69" s="28"/>
      <c r="FK69" s="28"/>
      <c r="FL69" s="28"/>
      <c r="FM69" s="28"/>
      <c r="FN69" s="28"/>
      <c r="FO69" s="28"/>
      <c r="FP69" s="28"/>
      <c r="FQ69" s="28"/>
      <c r="FR69" s="28"/>
      <c r="FS69" s="28"/>
      <c r="FT69" s="28"/>
      <c r="FU69" s="28"/>
      <c r="FV69" s="28"/>
      <c r="FW69" s="28"/>
      <c r="FX69" s="28"/>
      <c r="FY69" s="28"/>
      <c r="FZ69" s="28"/>
      <c r="GA69" s="28"/>
      <c r="GB69" s="28"/>
      <c r="GC69" s="28"/>
      <c r="GD69" s="28"/>
      <c r="GE69" s="28"/>
      <c r="GF69" s="28"/>
      <c r="GG69" s="28"/>
      <c r="GH69" s="28"/>
      <c r="GI69" s="28"/>
      <c r="GJ69" s="28"/>
      <c r="GK69" s="28"/>
      <c r="GL69" s="28"/>
      <c r="GM69" s="28"/>
      <c r="GN69" s="28"/>
      <c r="GO69" s="28"/>
      <c r="GP69" s="28"/>
      <c r="GQ69" s="28"/>
      <c r="GR69" s="28"/>
      <c r="GS69" s="28"/>
      <c r="GT69" s="28"/>
      <c r="GU69" s="28"/>
      <c r="GV69" s="28"/>
      <c r="GW69" s="28"/>
      <c r="GX69" s="28"/>
      <c r="GY69" s="28"/>
      <c r="GZ69" s="28"/>
      <c r="HA69" s="28"/>
      <c r="HB69" s="28"/>
      <c r="HC69" s="28"/>
    </row>
    <row r="70" spans="1:211" s="56" customFormat="1" x14ac:dyDescent="0.25">
      <c r="A70" s="31" t="s">
        <v>73</v>
      </c>
      <c r="B70" s="57">
        <v>37823</v>
      </c>
      <c r="C70" s="58">
        <v>0</v>
      </c>
      <c r="D70" s="59">
        <v>0</v>
      </c>
      <c r="E70" s="59">
        <v>0</v>
      </c>
      <c r="F70" s="59">
        <v>0</v>
      </c>
      <c r="G70" s="59">
        <v>0</v>
      </c>
      <c r="H70" s="59">
        <v>0</v>
      </c>
      <c r="I70" s="59">
        <v>0</v>
      </c>
      <c r="J70" s="59">
        <v>0</v>
      </c>
      <c r="K70" s="59">
        <v>0</v>
      </c>
      <c r="L70" s="59">
        <v>0</v>
      </c>
      <c r="M70" s="59">
        <v>0</v>
      </c>
      <c r="N70" s="59">
        <v>0</v>
      </c>
      <c r="O70" s="59">
        <v>0</v>
      </c>
      <c r="P70" s="59">
        <v>0</v>
      </c>
      <c r="Q70" s="59">
        <v>0</v>
      </c>
      <c r="R70" s="59">
        <v>0</v>
      </c>
      <c r="S70" s="60">
        <v>0</v>
      </c>
      <c r="T70" s="61">
        <f>SUM(D70:S70)</f>
        <v>0</v>
      </c>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28"/>
      <c r="CC70" s="28"/>
      <c r="CD70" s="28"/>
      <c r="CE70" s="28"/>
      <c r="CF70" s="28"/>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c r="DH70" s="28"/>
      <c r="DI70" s="28"/>
      <c r="DJ70" s="28"/>
      <c r="DK70" s="28"/>
      <c r="DL70" s="28"/>
      <c r="DM70" s="28"/>
      <c r="DN70" s="28"/>
      <c r="DO70" s="28"/>
      <c r="DP70" s="28"/>
      <c r="DQ70" s="28"/>
      <c r="DR70" s="28"/>
      <c r="DS70" s="28"/>
      <c r="DT70" s="28"/>
      <c r="DU70" s="28"/>
      <c r="DV70" s="28"/>
      <c r="DW70" s="28"/>
      <c r="DX70" s="28"/>
      <c r="DY70" s="28"/>
      <c r="DZ70" s="28"/>
      <c r="EA70" s="28"/>
      <c r="EB70" s="28"/>
      <c r="EC70" s="28"/>
      <c r="ED70" s="28"/>
      <c r="EE70" s="28"/>
      <c r="EF70" s="28"/>
      <c r="EG70" s="28"/>
      <c r="EH70" s="28"/>
      <c r="EI70" s="28"/>
      <c r="EJ70" s="28"/>
      <c r="EK70" s="28"/>
      <c r="EL70" s="28"/>
      <c r="EM70" s="28"/>
      <c r="EN70" s="28"/>
      <c r="EO70" s="28"/>
      <c r="EP70" s="28"/>
      <c r="EQ70" s="28"/>
      <c r="ER70" s="28"/>
      <c r="ES70" s="28"/>
      <c r="ET70" s="28"/>
      <c r="EU70" s="28"/>
      <c r="EV70" s="28"/>
      <c r="EW70" s="28"/>
      <c r="EX70" s="28"/>
      <c r="EY70" s="28"/>
      <c r="EZ70" s="28"/>
      <c r="FA70" s="28"/>
      <c r="FB70" s="28"/>
      <c r="FC70" s="28"/>
      <c r="FD70" s="28"/>
      <c r="FE70" s="28"/>
      <c r="FF70" s="28"/>
      <c r="FG70" s="28"/>
      <c r="FH70" s="28"/>
      <c r="FI70" s="28"/>
      <c r="FJ70" s="28"/>
      <c r="FK70" s="28"/>
      <c r="FL70" s="28"/>
      <c r="FM70" s="28"/>
      <c r="FN70" s="28"/>
      <c r="FO70" s="28"/>
      <c r="FP70" s="28"/>
      <c r="FQ70" s="28"/>
      <c r="FR70" s="28"/>
      <c r="FS70" s="28"/>
      <c r="FT70" s="28"/>
      <c r="FU70" s="28"/>
      <c r="FV70" s="28"/>
      <c r="FW70" s="28"/>
      <c r="FX70" s="28"/>
      <c r="FY70" s="28"/>
      <c r="FZ70" s="28"/>
      <c r="GA70" s="28"/>
      <c r="GB70" s="28"/>
      <c r="GC70" s="28"/>
      <c r="GD70" s="28"/>
      <c r="GE70" s="28"/>
      <c r="GF70" s="28"/>
      <c r="GG70" s="28"/>
      <c r="GH70" s="28"/>
      <c r="GI70" s="28"/>
      <c r="GJ70" s="28"/>
      <c r="GK70" s="28"/>
      <c r="GL70" s="28"/>
      <c r="GM70" s="28"/>
      <c r="GN70" s="28"/>
      <c r="GO70" s="28"/>
      <c r="GP70" s="28"/>
      <c r="GQ70" s="28"/>
      <c r="GR70" s="28"/>
      <c r="GS70" s="28"/>
      <c r="GT70" s="28"/>
      <c r="GU70" s="28"/>
      <c r="GV70" s="28"/>
      <c r="GW70" s="28"/>
      <c r="GX70" s="28"/>
      <c r="GY70" s="28"/>
      <c r="GZ70" s="28"/>
      <c r="HA70" s="28"/>
      <c r="HB70" s="28"/>
      <c r="HC70" s="28"/>
    </row>
    <row r="71" spans="1:211" s="56" customFormat="1" x14ac:dyDescent="0.25">
      <c r="A71" s="31" t="s">
        <v>74</v>
      </c>
      <c r="B71" s="57">
        <v>45160</v>
      </c>
      <c r="C71" s="58">
        <v>45</v>
      </c>
      <c r="D71" s="59">
        <v>1863.67</v>
      </c>
      <c r="E71" s="59">
        <v>1607.53</v>
      </c>
      <c r="F71" s="59">
        <v>8395.02</v>
      </c>
      <c r="G71" s="59">
        <v>1082.51</v>
      </c>
      <c r="H71" s="59">
        <v>644.03</v>
      </c>
      <c r="I71" s="59">
        <v>692.74</v>
      </c>
      <c r="J71" s="59">
        <v>0</v>
      </c>
      <c r="K71" s="59">
        <v>994.89</v>
      </c>
      <c r="L71" s="59">
        <v>0</v>
      </c>
      <c r="M71" s="59">
        <v>0</v>
      </c>
      <c r="N71" s="59">
        <v>1406.54</v>
      </c>
      <c r="O71" s="59">
        <v>2014.52</v>
      </c>
      <c r="P71" s="59">
        <v>8</v>
      </c>
      <c r="Q71" s="59">
        <v>0</v>
      </c>
      <c r="R71" s="59">
        <v>3332.97</v>
      </c>
      <c r="S71" s="60">
        <v>2021.63</v>
      </c>
      <c r="T71" s="61">
        <f>SUM(D71:S71)</f>
        <v>24064.050000000003</v>
      </c>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28"/>
      <c r="DY71" s="28"/>
      <c r="DZ71" s="28"/>
      <c r="EA71" s="28"/>
      <c r="EB71" s="28"/>
      <c r="EC71" s="28"/>
      <c r="ED71" s="28"/>
      <c r="EE71" s="28"/>
      <c r="EF71" s="28"/>
      <c r="EG71" s="28"/>
      <c r="EH71" s="28"/>
      <c r="EI71" s="28"/>
      <c r="EJ71" s="28"/>
      <c r="EK71" s="28"/>
      <c r="EL71" s="28"/>
      <c r="EM71" s="28"/>
      <c r="EN71" s="28"/>
      <c r="EO71" s="28"/>
      <c r="EP71" s="28"/>
      <c r="EQ71" s="28"/>
      <c r="ER71" s="28"/>
      <c r="ES71" s="28"/>
      <c r="ET71" s="28"/>
      <c r="EU71" s="28"/>
      <c r="EV71" s="28"/>
      <c r="EW71" s="28"/>
      <c r="EX71" s="28"/>
      <c r="EY71" s="28"/>
      <c r="EZ71" s="28"/>
      <c r="FA71" s="28"/>
      <c r="FB71" s="28"/>
      <c r="FC71" s="28"/>
      <c r="FD71" s="28"/>
      <c r="FE71" s="28"/>
      <c r="FF71" s="28"/>
      <c r="FG71" s="28"/>
      <c r="FH71" s="28"/>
      <c r="FI71" s="28"/>
      <c r="FJ71" s="28"/>
      <c r="FK71" s="28"/>
      <c r="FL71" s="28"/>
      <c r="FM71" s="28"/>
      <c r="FN71" s="28"/>
      <c r="FO71" s="28"/>
      <c r="FP71" s="28"/>
      <c r="FQ71" s="28"/>
      <c r="FR71" s="28"/>
      <c r="FS71" s="28"/>
      <c r="FT71" s="28"/>
      <c r="FU71" s="28"/>
      <c r="FV71" s="28"/>
      <c r="FW71" s="28"/>
      <c r="FX71" s="28"/>
      <c r="FY71" s="28"/>
      <c r="FZ71" s="28"/>
      <c r="GA71" s="28"/>
      <c r="GB71" s="28"/>
      <c r="GC71" s="28"/>
      <c r="GD71" s="28"/>
      <c r="GE71" s="28"/>
      <c r="GF71" s="28"/>
      <c r="GG71" s="28"/>
      <c r="GH71" s="28"/>
      <c r="GI71" s="28"/>
      <c r="GJ71" s="28"/>
      <c r="GK71" s="28"/>
      <c r="GL71" s="28"/>
      <c r="GM71" s="28"/>
      <c r="GN71" s="28"/>
      <c r="GO71" s="28"/>
      <c r="GP71" s="28"/>
      <c r="GQ71" s="28"/>
      <c r="GR71" s="28"/>
      <c r="GS71" s="28"/>
      <c r="GT71" s="28"/>
      <c r="GU71" s="28"/>
      <c r="GV71" s="28"/>
      <c r="GW71" s="28"/>
      <c r="GX71" s="28"/>
      <c r="GY71" s="28"/>
      <c r="GZ71" s="28"/>
      <c r="HA71" s="28"/>
      <c r="HB71" s="28"/>
      <c r="HC71" s="28"/>
    </row>
    <row r="72" spans="1:211" s="56" customFormat="1" x14ac:dyDescent="0.25">
      <c r="A72" s="31" t="s">
        <v>75</v>
      </c>
      <c r="B72" s="57">
        <v>45163</v>
      </c>
      <c r="C72" s="58">
        <v>27</v>
      </c>
      <c r="D72" s="59">
        <v>1808.61</v>
      </c>
      <c r="E72" s="59">
        <v>1871.51</v>
      </c>
      <c r="F72" s="59">
        <v>6982.79</v>
      </c>
      <c r="G72" s="59">
        <v>0</v>
      </c>
      <c r="H72" s="59">
        <v>471.81</v>
      </c>
      <c r="I72" s="59">
        <v>802.98</v>
      </c>
      <c r="J72" s="59">
        <v>0</v>
      </c>
      <c r="K72" s="59">
        <v>1450.86</v>
      </c>
      <c r="L72" s="59">
        <v>1.26</v>
      </c>
      <c r="M72" s="59">
        <v>245.33</v>
      </c>
      <c r="N72" s="59">
        <v>0</v>
      </c>
      <c r="O72" s="59">
        <v>1970.08</v>
      </c>
      <c r="P72" s="59">
        <v>0</v>
      </c>
      <c r="Q72" s="59">
        <v>2211.7800000000002</v>
      </c>
      <c r="R72" s="59">
        <v>3169.2</v>
      </c>
      <c r="S72" s="60">
        <v>1854.62</v>
      </c>
      <c r="T72" s="61">
        <f t="shared" ref="T72:T123" si="5">SUM(D72:S72)</f>
        <v>22840.829999999998</v>
      </c>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28"/>
      <c r="DX72" s="28"/>
      <c r="DY72" s="28"/>
      <c r="DZ72" s="28"/>
      <c r="EA72" s="28"/>
      <c r="EB72" s="28"/>
      <c r="EC72" s="28"/>
      <c r="ED72" s="28"/>
      <c r="EE72" s="28"/>
      <c r="EF72" s="28"/>
      <c r="EG72" s="28"/>
      <c r="EH72" s="28"/>
      <c r="EI72" s="28"/>
      <c r="EJ72" s="28"/>
      <c r="EK72" s="28"/>
      <c r="EL72" s="28"/>
      <c r="EM72" s="28"/>
      <c r="EN72" s="28"/>
      <c r="EO72" s="28"/>
      <c r="EP72" s="28"/>
      <c r="EQ72" s="28"/>
      <c r="ER72" s="28"/>
      <c r="ES72" s="28"/>
      <c r="ET72" s="28"/>
      <c r="EU72" s="28"/>
      <c r="EV72" s="28"/>
      <c r="EW72" s="28"/>
      <c r="EX72" s="28"/>
      <c r="EY72" s="28"/>
      <c r="EZ72" s="28"/>
      <c r="FA72" s="28"/>
      <c r="FB72" s="28"/>
      <c r="FC72" s="28"/>
      <c r="FD72" s="28"/>
      <c r="FE72" s="28"/>
      <c r="FF72" s="28"/>
      <c r="FG72" s="28"/>
      <c r="FH72" s="28"/>
      <c r="FI72" s="28"/>
      <c r="FJ72" s="28"/>
      <c r="FK72" s="28"/>
      <c r="FL72" s="28"/>
      <c r="FM72" s="28"/>
      <c r="FN72" s="28"/>
      <c r="FO72" s="28"/>
      <c r="FP72" s="28"/>
      <c r="FQ72" s="28"/>
      <c r="FR72" s="28"/>
      <c r="FS72" s="28"/>
      <c r="FT72" s="28"/>
      <c r="FU72" s="28"/>
      <c r="FV72" s="28"/>
      <c r="FW72" s="28"/>
      <c r="FX72" s="28"/>
      <c r="FY72" s="28"/>
      <c r="FZ72" s="28"/>
      <c r="GA72" s="28"/>
      <c r="GB72" s="28"/>
      <c r="GC72" s="28"/>
      <c r="GD72" s="28"/>
      <c r="GE72" s="28"/>
      <c r="GF72" s="28"/>
      <c r="GG72" s="28"/>
      <c r="GH72" s="28"/>
      <c r="GI72" s="28"/>
      <c r="GJ72" s="28"/>
      <c r="GK72" s="28"/>
      <c r="GL72" s="28"/>
      <c r="GM72" s="28"/>
      <c r="GN72" s="28"/>
      <c r="GO72" s="28"/>
      <c r="GP72" s="28"/>
      <c r="GQ72" s="28"/>
      <c r="GR72" s="28"/>
      <c r="GS72" s="28"/>
      <c r="GT72" s="28"/>
      <c r="GU72" s="28"/>
      <c r="GV72" s="28"/>
      <c r="GW72" s="28"/>
      <c r="GX72" s="28"/>
      <c r="GY72" s="28"/>
      <c r="GZ72" s="28"/>
      <c r="HA72" s="28"/>
      <c r="HB72" s="28"/>
      <c r="HC72" s="28"/>
    </row>
    <row r="73" spans="1:211" s="56" customFormat="1" x14ac:dyDescent="0.25">
      <c r="A73" s="31" t="s">
        <v>76</v>
      </c>
      <c r="B73" s="57">
        <v>45133</v>
      </c>
      <c r="C73" s="58">
        <v>66</v>
      </c>
      <c r="D73" s="59">
        <v>4713.6099999999997</v>
      </c>
      <c r="E73" s="59">
        <v>5264.44</v>
      </c>
      <c r="F73" s="59">
        <v>21689.24</v>
      </c>
      <c r="G73" s="59">
        <v>3785.02</v>
      </c>
      <c r="H73" s="59">
        <v>1028.5</v>
      </c>
      <c r="I73" s="59">
        <v>1810.26</v>
      </c>
      <c r="J73" s="59"/>
      <c r="K73" s="59">
        <v>331.77</v>
      </c>
      <c r="L73" s="59"/>
      <c r="M73" s="59">
        <v>617.12</v>
      </c>
      <c r="N73" s="59">
        <v>0</v>
      </c>
      <c r="O73" s="59">
        <v>4903.6899999999996</v>
      </c>
      <c r="P73" s="59">
        <v>0</v>
      </c>
      <c r="Q73" s="59">
        <v>0</v>
      </c>
      <c r="R73" s="59">
        <v>7950.98</v>
      </c>
      <c r="S73" s="60">
        <v>4566.47</v>
      </c>
      <c r="T73" s="61">
        <f t="shared" si="5"/>
        <v>56661.100000000006</v>
      </c>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28"/>
      <c r="DY73" s="28"/>
      <c r="DZ73" s="28"/>
      <c r="EA73" s="28"/>
      <c r="EB73" s="28"/>
      <c r="EC73" s="28"/>
      <c r="ED73" s="28"/>
      <c r="EE73" s="28"/>
      <c r="EF73" s="28"/>
      <c r="EG73" s="28"/>
      <c r="EH73" s="28"/>
      <c r="EI73" s="28"/>
      <c r="EJ73" s="28"/>
      <c r="EK73" s="28"/>
      <c r="EL73" s="28"/>
      <c r="EM73" s="28"/>
      <c r="EN73" s="28"/>
      <c r="EO73" s="28"/>
      <c r="EP73" s="28"/>
      <c r="EQ73" s="28"/>
      <c r="ER73" s="28"/>
      <c r="ES73" s="28"/>
      <c r="ET73" s="28"/>
      <c r="EU73" s="28"/>
      <c r="EV73" s="28"/>
      <c r="EW73" s="28"/>
      <c r="EX73" s="28"/>
      <c r="EY73" s="28"/>
      <c r="EZ73" s="28"/>
      <c r="FA73" s="28"/>
      <c r="FB73" s="28"/>
      <c r="FC73" s="28"/>
      <c r="FD73" s="28"/>
      <c r="FE73" s="28"/>
      <c r="FF73" s="28"/>
      <c r="FG73" s="28"/>
      <c r="FH73" s="28"/>
      <c r="FI73" s="28"/>
      <c r="FJ73" s="28"/>
      <c r="FK73" s="28"/>
      <c r="FL73" s="28"/>
      <c r="FM73" s="28"/>
      <c r="FN73" s="28"/>
      <c r="FO73" s="28"/>
      <c r="FP73" s="28"/>
      <c r="FQ73" s="28"/>
      <c r="FR73" s="28"/>
      <c r="FS73" s="28"/>
      <c r="FT73" s="28"/>
      <c r="FU73" s="28"/>
      <c r="FV73" s="28"/>
      <c r="FW73" s="28"/>
      <c r="FX73" s="28"/>
      <c r="FY73" s="28"/>
      <c r="FZ73" s="28"/>
      <c r="GA73" s="28"/>
      <c r="GB73" s="28"/>
      <c r="GC73" s="28"/>
      <c r="GD73" s="28"/>
      <c r="GE73" s="28"/>
      <c r="GF73" s="28"/>
      <c r="GG73" s="28"/>
      <c r="GH73" s="28"/>
      <c r="GI73" s="28"/>
      <c r="GJ73" s="28"/>
      <c r="GK73" s="28"/>
      <c r="GL73" s="28"/>
      <c r="GM73" s="28"/>
      <c r="GN73" s="28"/>
      <c r="GO73" s="28"/>
      <c r="GP73" s="28"/>
      <c r="GQ73" s="28"/>
      <c r="GR73" s="28"/>
      <c r="GS73" s="28"/>
      <c r="GT73" s="28"/>
      <c r="GU73" s="28"/>
      <c r="GV73" s="28"/>
      <c r="GW73" s="28"/>
      <c r="GX73" s="28"/>
      <c r="GY73" s="28"/>
      <c r="GZ73" s="28"/>
      <c r="HA73" s="28"/>
      <c r="HB73" s="28"/>
      <c r="HC73" s="28"/>
    </row>
    <row r="74" spans="1:211" s="56" customFormat="1" x14ac:dyDescent="0.25">
      <c r="A74" s="31" t="s">
        <v>77</v>
      </c>
      <c r="B74" s="57">
        <v>45161</v>
      </c>
      <c r="C74" s="58">
        <v>28</v>
      </c>
      <c r="D74" s="59">
        <v>2283.4899999999998</v>
      </c>
      <c r="E74" s="59">
        <v>2422.4899999999998</v>
      </c>
      <c r="F74" s="59">
        <v>8578.01</v>
      </c>
      <c r="G74" s="59">
        <v>814.13</v>
      </c>
      <c r="H74" s="59">
        <v>595.70000000000005</v>
      </c>
      <c r="I74" s="59">
        <v>774.39</v>
      </c>
      <c r="J74" s="59">
        <v>0</v>
      </c>
      <c r="K74" s="59">
        <v>493.91</v>
      </c>
      <c r="L74" s="59">
        <v>0</v>
      </c>
      <c r="M74" s="59">
        <v>0</v>
      </c>
      <c r="N74" s="59">
        <v>1389.96</v>
      </c>
      <c r="O74" s="59">
        <v>2674.91</v>
      </c>
      <c r="P74" s="59">
        <v>168</v>
      </c>
      <c r="Q74" s="59">
        <v>2823.28</v>
      </c>
      <c r="R74" s="59">
        <v>4035.07</v>
      </c>
      <c r="S74" s="60">
        <v>2437.56</v>
      </c>
      <c r="T74" s="61">
        <f t="shared" si="5"/>
        <v>29490.899999999998</v>
      </c>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c r="EO74" s="28"/>
      <c r="EP74" s="28"/>
      <c r="EQ74" s="28"/>
      <c r="ER74" s="28"/>
      <c r="ES74" s="28"/>
      <c r="ET74" s="28"/>
      <c r="EU74" s="28"/>
      <c r="EV74" s="28"/>
      <c r="EW74" s="28"/>
      <c r="EX74" s="28"/>
      <c r="EY74" s="28"/>
      <c r="EZ74" s="28"/>
      <c r="FA74" s="28"/>
      <c r="FB74" s="28"/>
      <c r="FC74" s="28"/>
      <c r="FD74" s="28"/>
      <c r="FE74" s="28"/>
      <c r="FF74" s="28"/>
      <c r="FG74" s="28"/>
      <c r="FH74" s="28"/>
      <c r="FI74" s="28"/>
      <c r="FJ74" s="28"/>
      <c r="FK74" s="28"/>
      <c r="FL74" s="28"/>
      <c r="FM74" s="28"/>
      <c r="FN74" s="28"/>
      <c r="FO74" s="28"/>
      <c r="FP74" s="28"/>
      <c r="FQ74" s="28"/>
      <c r="FR74" s="28"/>
      <c r="FS74" s="28"/>
      <c r="FT74" s="28"/>
      <c r="FU74" s="28"/>
      <c r="FV74" s="28"/>
      <c r="FW74" s="28"/>
      <c r="FX74" s="28"/>
      <c r="FY74" s="28"/>
      <c r="FZ74" s="28"/>
      <c r="GA74" s="28"/>
      <c r="GB74" s="28"/>
      <c r="GC74" s="28"/>
      <c r="GD74" s="28"/>
      <c r="GE74" s="28"/>
      <c r="GF74" s="28"/>
      <c r="GG74" s="28"/>
      <c r="GH74" s="28"/>
      <c r="GI74" s="28"/>
      <c r="GJ74" s="28"/>
      <c r="GK74" s="28"/>
      <c r="GL74" s="28"/>
      <c r="GM74" s="28"/>
      <c r="GN74" s="28"/>
      <c r="GO74" s="28"/>
      <c r="GP74" s="28"/>
      <c r="GQ74" s="28"/>
      <c r="GR74" s="28"/>
      <c r="GS74" s="28"/>
      <c r="GT74" s="28"/>
      <c r="GU74" s="28"/>
      <c r="GV74" s="28"/>
      <c r="GW74" s="28"/>
      <c r="GX74" s="28"/>
      <c r="GY74" s="28"/>
      <c r="GZ74" s="28"/>
      <c r="HA74" s="28"/>
      <c r="HB74" s="28"/>
      <c r="HC74" s="28"/>
    </row>
    <row r="75" spans="1:211" s="56" customFormat="1" x14ac:dyDescent="0.25">
      <c r="A75" s="31" t="s">
        <v>78</v>
      </c>
      <c r="B75" s="57">
        <v>45155</v>
      </c>
      <c r="C75" s="58">
        <v>258</v>
      </c>
      <c r="D75" s="70">
        <v>25351.64</v>
      </c>
      <c r="E75" s="70">
        <v>31806.49</v>
      </c>
      <c r="F75" s="70">
        <v>57994.97</v>
      </c>
      <c r="G75" s="70">
        <v>13226.96</v>
      </c>
      <c r="H75" s="70">
        <v>6613.46</v>
      </c>
      <c r="I75" s="70">
        <v>9016.3700000000008</v>
      </c>
      <c r="J75" s="70">
        <v>2645.37</v>
      </c>
      <c r="K75" s="70">
        <v>7035.96</v>
      </c>
      <c r="L75" s="70">
        <v>1580.03</v>
      </c>
      <c r="M75" s="70">
        <v>0</v>
      </c>
      <c r="N75" s="70">
        <v>0</v>
      </c>
      <c r="O75" s="70">
        <v>18679.650000000001</v>
      </c>
      <c r="P75" s="70">
        <v>0</v>
      </c>
      <c r="Q75" s="70">
        <v>0</v>
      </c>
      <c r="R75" s="70">
        <v>29970.62</v>
      </c>
      <c r="S75" s="70">
        <v>18597</v>
      </c>
      <c r="T75" s="71">
        <f t="shared" si="5"/>
        <v>222518.51999999996</v>
      </c>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c r="DW75" s="28"/>
      <c r="DX75" s="28"/>
      <c r="DY75" s="28"/>
      <c r="DZ75" s="28"/>
      <c r="EA75" s="28"/>
      <c r="EB75" s="28"/>
      <c r="EC75" s="28"/>
      <c r="ED75" s="28"/>
      <c r="EE75" s="28"/>
      <c r="EF75" s="28"/>
      <c r="EG75" s="28"/>
      <c r="EH75" s="28"/>
      <c r="EI75" s="28"/>
      <c r="EJ75" s="28"/>
      <c r="EK75" s="28"/>
      <c r="EL75" s="28"/>
      <c r="EM75" s="28"/>
      <c r="EN75" s="28"/>
      <c r="EO75" s="28"/>
      <c r="EP75" s="28"/>
      <c r="EQ75" s="28"/>
      <c r="ER75" s="28"/>
      <c r="ES75" s="28"/>
      <c r="ET75" s="28"/>
      <c r="EU75" s="28"/>
      <c r="EV75" s="28"/>
      <c r="EW75" s="28"/>
      <c r="EX75" s="28"/>
      <c r="EY75" s="28"/>
      <c r="EZ75" s="28"/>
      <c r="FA75" s="28"/>
      <c r="FB75" s="28"/>
      <c r="FC75" s="28"/>
      <c r="FD75" s="28"/>
      <c r="FE75" s="28"/>
      <c r="FF75" s="28"/>
      <c r="FG75" s="28"/>
      <c r="FH75" s="28"/>
      <c r="FI75" s="28"/>
      <c r="FJ75" s="28"/>
      <c r="FK75" s="28"/>
      <c r="FL75" s="28"/>
      <c r="FM75" s="28"/>
      <c r="FN75" s="28"/>
      <c r="FO75" s="28"/>
      <c r="FP75" s="28"/>
      <c r="FQ75" s="28"/>
      <c r="FR75" s="28"/>
      <c r="FS75" s="28"/>
      <c r="FT75" s="28"/>
      <c r="FU75" s="28"/>
      <c r="FV75" s="28"/>
      <c r="FW75" s="28"/>
      <c r="FX75" s="28"/>
      <c r="FY75" s="28"/>
      <c r="FZ75" s="28"/>
      <c r="GA75" s="28"/>
      <c r="GB75" s="28"/>
      <c r="GC75" s="28"/>
      <c r="GD75" s="28"/>
      <c r="GE75" s="28"/>
      <c r="GF75" s="28"/>
      <c r="GG75" s="28"/>
      <c r="GH75" s="28"/>
      <c r="GI75" s="28"/>
      <c r="GJ75" s="28"/>
      <c r="GK75" s="28"/>
      <c r="GL75" s="28"/>
      <c r="GM75" s="28"/>
      <c r="GN75" s="28"/>
      <c r="GO75" s="28"/>
      <c r="GP75" s="28"/>
      <c r="GQ75" s="28"/>
      <c r="GR75" s="28"/>
      <c r="GS75" s="28"/>
      <c r="GT75" s="28"/>
      <c r="GU75" s="28"/>
      <c r="GV75" s="28"/>
      <c r="GW75" s="28"/>
      <c r="GX75" s="28"/>
      <c r="GY75" s="28"/>
      <c r="GZ75" s="28"/>
      <c r="HA75" s="28"/>
      <c r="HB75" s="28"/>
      <c r="HC75" s="28"/>
    </row>
    <row r="76" spans="1:211" s="56" customFormat="1" x14ac:dyDescent="0.25">
      <c r="A76" s="31" t="s">
        <v>79</v>
      </c>
      <c r="B76" s="57">
        <v>45189</v>
      </c>
      <c r="C76" s="58">
        <v>49</v>
      </c>
      <c r="D76" s="70">
        <v>2425.2199999999998</v>
      </c>
      <c r="E76" s="70">
        <v>1792.58</v>
      </c>
      <c r="F76" s="70">
        <v>7908.36</v>
      </c>
      <c r="G76" s="70">
        <v>1455.15</v>
      </c>
      <c r="H76" s="70">
        <v>843.56</v>
      </c>
      <c r="I76" s="70">
        <v>717.02</v>
      </c>
      <c r="J76" s="70">
        <v>0</v>
      </c>
      <c r="K76" s="70">
        <v>2108.9</v>
      </c>
      <c r="L76" s="70">
        <v>5.76</v>
      </c>
      <c r="M76" s="70">
        <v>358.53</v>
      </c>
      <c r="N76" s="70">
        <v>0</v>
      </c>
      <c r="O76" s="70">
        <v>2577.0300000000002</v>
      </c>
      <c r="P76" s="70">
        <v>490</v>
      </c>
      <c r="Q76" s="70">
        <v>3078.7</v>
      </c>
      <c r="R76" s="70">
        <v>4138.79</v>
      </c>
      <c r="S76" s="70">
        <v>2804.35</v>
      </c>
      <c r="T76" s="71">
        <f t="shared" si="5"/>
        <v>30703.949999999997</v>
      </c>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c r="DX76" s="28"/>
      <c r="DY76" s="28"/>
      <c r="DZ76" s="28"/>
      <c r="EA76" s="28"/>
      <c r="EB76" s="28"/>
      <c r="EC76" s="28"/>
      <c r="ED76" s="28"/>
      <c r="EE76" s="28"/>
      <c r="EF76" s="28"/>
      <c r="EG76" s="28"/>
      <c r="EH76" s="28"/>
      <c r="EI76" s="28"/>
      <c r="EJ76" s="28"/>
      <c r="EK76" s="28"/>
      <c r="EL76" s="28"/>
      <c r="EM76" s="28"/>
      <c r="EN76" s="28"/>
      <c r="EO76" s="28"/>
      <c r="EP76" s="28"/>
      <c r="EQ76" s="28"/>
      <c r="ER76" s="28"/>
      <c r="ES76" s="28"/>
      <c r="ET76" s="28"/>
      <c r="EU76" s="28"/>
      <c r="EV76" s="28"/>
      <c r="EW76" s="28"/>
      <c r="EX76" s="28"/>
      <c r="EY76" s="28"/>
      <c r="EZ76" s="28"/>
      <c r="FA76" s="28"/>
      <c r="FB76" s="28"/>
      <c r="FC76" s="28"/>
      <c r="FD76" s="28"/>
      <c r="FE76" s="28"/>
      <c r="FF76" s="28"/>
      <c r="FG76" s="28"/>
      <c r="FH76" s="28"/>
      <c r="FI76" s="28"/>
      <c r="FJ76" s="28"/>
      <c r="FK76" s="28"/>
      <c r="FL76" s="28"/>
      <c r="FM76" s="28"/>
      <c r="FN76" s="28"/>
      <c r="FO76" s="28"/>
      <c r="FP76" s="28"/>
      <c r="FQ76" s="28"/>
      <c r="FR76" s="28"/>
      <c r="FS76" s="28"/>
      <c r="FT76" s="28"/>
      <c r="FU76" s="28"/>
      <c r="FV76" s="28"/>
      <c r="FW76" s="28"/>
      <c r="FX76" s="28"/>
      <c r="FY76" s="28"/>
      <c r="FZ76" s="28"/>
      <c r="GA76" s="28"/>
      <c r="GB76" s="28"/>
      <c r="GC76" s="28"/>
      <c r="GD76" s="28"/>
      <c r="GE76" s="28"/>
      <c r="GF76" s="28"/>
      <c r="GG76" s="28"/>
      <c r="GH76" s="28"/>
      <c r="GI76" s="28"/>
      <c r="GJ76" s="28"/>
      <c r="GK76" s="28"/>
      <c r="GL76" s="28"/>
      <c r="GM76" s="28"/>
      <c r="GN76" s="28"/>
      <c r="GO76" s="28"/>
      <c r="GP76" s="28"/>
      <c r="GQ76" s="28"/>
      <c r="GR76" s="28"/>
      <c r="GS76" s="28"/>
      <c r="GT76" s="28"/>
      <c r="GU76" s="28"/>
      <c r="GV76" s="28"/>
      <c r="GW76" s="28"/>
      <c r="GX76" s="28"/>
      <c r="GY76" s="28"/>
      <c r="GZ76" s="28"/>
      <c r="HA76" s="28"/>
      <c r="HB76" s="28"/>
      <c r="HC76" s="28"/>
    </row>
    <row r="77" spans="1:211" s="56" customFormat="1" x14ac:dyDescent="0.25">
      <c r="A77" s="31" t="s">
        <v>80</v>
      </c>
      <c r="B77" s="57">
        <v>45154</v>
      </c>
      <c r="C77" s="58">
        <v>4</v>
      </c>
      <c r="D77" s="70">
        <v>245.68</v>
      </c>
      <c r="E77" s="70">
        <v>371.74</v>
      </c>
      <c r="F77" s="70">
        <v>1326.77</v>
      </c>
      <c r="G77" s="70">
        <v>91.86</v>
      </c>
      <c r="H77" s="70">
        <v>111.1</v>
      </c>
      <c r="I77" s="70">
        <v>79.06</v>
      </c>
      <c r="J77" s="70">
        <v>0</v>
      </c>
      <c r="K77" s="70">
        <v>80</v>
      </c>
      <c r="L77" s="70">
        <v>0</v>
      </c>
      <c r="M77" s="70">
        <v>27.78</v>
      </c>
      <c r="N77" s="70">
        <v>0</v>
      </c>
      <c r="O77" s="70">
        <v>352.93</v>
      </c>
      <c r="P77" s="70">
        <v>72</v>
      </c>
      <c r="Q77" s="70">
        <v>379.41</v>
      </c>
      <c r="R77" s="70">
        <v>550.67999999999995</v>
      </c>
      <c r="S77" s="70">
        <v>331.35</v>
      </c>
      <c r="T77" s="71">
        <f t="shared" si="5"/>
        <v>4020.3599999999997</v>
      </c>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28"/>
      <c r="DY77" s="28"/>
      <c r="DZ77" s="28"/>
      <c r="EA77" s="28"/>
      <c r="EB77" s="28"/>
      <c r="EC77" s="28"/>
      <c r="ED77" s="28"/>
      <c r="EE77" s="28"/>
      <c r="EF77" s="28"/>
      <c r="EG77" s="28"/>
      <c r="EH77" s="28"/>
      <c r="EI77" s="28"/>
      <c r="EJ77" s="28"/>
      <c r="EK77" s="28"/>
      <c r="EL77" s="28"/>
      <c r="EM77" s="28"/>
      <c r="EN77" s="28"/>
      <c r="EO77" s="28"/>
      <c r="EP77" s="28"/>
      <c r="EQ77" s="28"/>
      <c r="ER77" s="28"/>
      <c r="ES77" s="28"/>
      <c r="ET77" s="28"/>
      <c r="EU77" s="28"/>
      <c r="EV77" s="28"/>
      <c r="EW77" s="28"/>
      <c r="EX77" s="28"/>
      <c r="EY77" s="28"/>
      <c r="EZ77" s="28"/>
      <c r="FA77" s="28"/>
      <c r="FB77" s="28"/>
      <c r="FC77" s="28"/>
      <c r="FD77" s="28"/>
      <c r="FE77" s="28"/>
      <c r="FF77" s="28"/>
      <c r="FG77" s="28"/>
      <c r="FH77" s="28"/>
      <c r="FI77" s="28"/>
      <c r="FJ77" s="28"/>
      <c r="FK77" s="28"/>
      <c r="FL77" s="28"/>
      <c r="FM77" s="28"/>
      <c r="FN77" s="28"/>
      <c r="FO77" s="28"/>
      <c r="FP77" s="28"/>
      <c r="FQ77" s="28"/>
      <c r="FR77" s="28"/>
      <c r="FS77" s="28"/>
      <c r="FT77" s="28"/>
      <c r="FU77" s="28"/>
      <c r="FV77" s="28"/>
      <c r="FW77" s="28"/>
      <c r="FX77" s="28"/>
      <c r="FY77" s="28"/>
      <c r="FZ77" s="28"/>
      <c r="GA77" s="28"/>
      <c r="GB77" s="28"/>
      <c r="GC77" s="28"/>
      <c r="GD77" s="28"/>
      <c r="GE77" s="28"/>
      <c r="GF77" s="28"/>
      <c r="GG77" s="28"/>
      <c r="GH77" s="28"/>
      <c r="GI77" s="28"/>
      <c r="GJ77" s="28"/>
      <c r="GK77" s="28"/>
      <c r="GL77" s="28"/>
      <c r="GM77" s="28"/>
      <c r="GN77" s="28"/>
      <c r="GO77" s="28"/>
      <c r="GP77" s="28"/>
      <c r="GQ77" s="28"/>
      <c r="GR77" s="28"/>
      <c r="GS77" s="28"/>
      <c r="GT77" s="28"/>
      <c r="GU77" s="28"/>
      <c r="GV77" s="28"/>
      <c r="GW77" s="28"/>
      <c r="GX77" s="28"/>
      <c r="GY77" s="28"/>
      <c r="GZ77" s="28"/>
      <c r="HA77" s="28"/>
      <c r="HB77" s="28"/>
      <c r="HC77" s="28"/>
    </row>
    <row r="78" spans="1:211" s="56" customFormat="1" x14ac:dyDescent="0.25">
      <c r="A78" s="31" t="s">
        <v>81</v>
      </c>
      <c r="B78" s="57">
        <v>45162</v>
      </c>
      <c r="C78" s="58">
        <v>130</v>
      </c>
      <c r="D78" s="70">
        <v>16871.47</v>
      </c>
      <c r="E78" s="70">
        <v>10709.63</v>
      </c>
      <c r="F78" s="70">
        <v>95149.99</v>
      </c>
      <c r="G78" s="70">
        <v>7628.82</v>
      </c>
      <c r="H78" s="70">
        <v>7042.02</v>
      </c>
      <c r="I78" s="70">
        <v>2640.77</v>
      </c>
      <c r="J78" s="70">
        <v>0</v>
      </c>
      <c r="K78" s="70">
        <v>0</v>
      </c>
      <c r="L78" s="70">
        <v>138.41</v>
      </c>
      <c r="M78" s="70">
        <v>0</v>
      </c>
      <c r="N78" s="70">
        <v>6455.19</v>
      </c>
      <c r="O78" s="70">
        <v>20089.18</v>
      </c>
      <c r="P78" s="70">
        <v>1300</v>
      </c>
      <c r="Q78" s="70">
        <v>23733.119999999999</v>
      </c>
      <c r="R78" s="70">
        <v>34333.910000000003</v>
      </c>
      <c r="S78" s="70">
        <v>18986.990000000002</v>
      </c>
      <c r="T78" s="71">
        <f t="shared" si="5"/>
        <v>245079.49999999997</v>
      </c>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c r="BY78" s="28"/>
      <c r="BZ78" s="28"/>
      <c r="CA78" s="28"/>
      <c r="CB78" s="28"/>
      <c r="CC78" s="28"/>
      <c r="CD78" s="28"/>
      <c r="CE78" s="28"/>
      <c r="CF78" s="28"/>
      <c r="CG78" s="28"/>
      <c r="CH78" s="28"/>
      <c r="CI78" s="28"/>
      <c r="CJ78" s="28"/>
      <c r="CK78" s="28"/>
      <c r="CL78" s="28"/>
      <c r="CM78" s="28"/>
      <c r="CN78" s="28"/>
      <c r="CO78" s="28"/>
      <c r="CP78" s="28"/>
      <c r="CQ78" s="28"/>
      <c r="CR78" s="28"/>
      <c r="CS78" s="28"/>
      <c r="CT78" s="28"/>
      <c r="CU78" s="28"/>
      <c r="CV78" s="28"/>
      <c r="CW78" s="28"/>
      <c r="CX78" s="28"/>
      <c r="CY78" s="28"/>
      <c r="CZ78" s="28"/>
      <c r="DA78" s="28"/>
      <c r="DB78" s="28"/>
      <c r="DC78" s="28"/>
      <c r="DD78" s="28"/>
      <c r="DE78" s="28"/>
      <c r="DF78" s="28"/>
      <c r="DG78" s="28"/>
      <c r="DH78" s="28"/>
      <c r="DI78" s="28"/>
      <c r="DJ78" s="28"/>
      <c r="DK78" s="28"/>
      <c r="DL78" s="28"/>
      <c r="DM78" s="28"/>
      <c r="DN78" s="28"/>
      <c r="DO78" s="28"/>
      <c r="DP78" s="28"/>
      <c r="DQ78" s="28"/>
      <c r="DR78" s="28"/>
      <c r="DS78" s="28"/>
      <c r="DT78" s="28"/>
      <c r="DU78" s="28"/>
      <c r="DV78" s="28"/>
      <c r="DW78" s="28"/>
      <c r="DX78" s="28"/>
      <c r="DY78" s="28"/>
      <c r="DZ78" s="28"/>
      <c r="EA78" s="28"/>
      <c r="EB78" s="28"/>
      <c r="EC78" s="28"/>
      <c r="ED78" s="28"/>
      <c r="EE78" s="28"/>
      <c r="EF78" s="28"/>
      <c r="EG78" s="28"/>
      <c r="EH78" s="28"/>
      <c r="EI78" s="28"/>
      <c r="EJ78" s="28"/>
      <c r="EK78" s="28"/>
      <c r="EL78" s="28"/>
      <c r="EM78" s="28"/>
      <c r="EN78" s="28"/>
      <c r="EO78" s="28"/>
      <c r="EP78" s="28"/>
      <c r="EQ78" s="28"/>
      <c r="ER78" s="28"/>
      <c r="ES78" s="28"/>
      <c r="ET78" s="28"/>
      <c r="EU78" s="28"/>
      <c r="EV78" s="28"/>
      <c r="EW78" s="28"/>
      <c r="EX78" s="28"/>
      <c r="EY78" s="28"/>
      <c r="EZ78" s="28"/>
      <c r="FA78" s="28"/>
      <c r="FB78" s="28"/>
      <c r="FC78" s="28"/>
      <c r="FD78" s="28"/>
      <c r="FE78" s="28"/>
      <c r="FF78" s="28"/>
      <c r="FG78" s="28"/>
      <c r="FH78" s="28"/>
      <c r="FI78" s="28"/>
      <c r="FJ78" s="28"/>
      <c r="FK78" s="28"/>
      <c r="FL78" s="28"/>
      <c r="FM78" s="28"/>
      <c r="FN78" s="28"/>
      <c r="FO78" s="28"/>
      <c r="FP78" s="28"/>
      <c r="FQ78" s="28"/>
      <c r="FR78" s="28"/>
      <c r="FS78" s="28"/>
      <c r="FT78" s="28"/>
      <c r="FU78" s="28"/>
      <c r="FV78" s="28"/>
      <c r="FW78" s="28"/>
      <c r="FX78" s="28"/>
      <c r="FY78" s="28"/>
      <c r="FZ78" s="28"/>
      <c r="GA78" s="28"/>
      <c r="GB78" s="28"/>
      <c r="GC78" s="28"/>
      <c r="GD78" s="28"/>
      <c r="GE78" s="28"/>
      <c r="GF78" s="28"/>
      <c r="GG78" s="28"/>
      <c r="GH78" s="28"/>
      <c r="GI78" s="28"/>
      <c r="GJ78" s="28"/>
      <c r="GK78" s="28"/>
      <c r="GL78" s="28"/>
      <c r="GM78" s="28"/>
      <c r="GN78" s="28"/>
      <c r="GO78" s="28"/>
      <c r="GP78" s="28"/>
      <c r="GQ78" s="28"/>
      <c r="GR78" s="28"/>
      <c r="GS78" s="28"/>
      <c r="GT78" s="28"/>
      <c r="GU78" s="28"/>
      <c r="GV78" s="28"/>
      <c r="GW78" s="28"/>
      <c r="GX78" s="28"/>
      <c r="GY78" s="28"/>
      <c r="GZ78" s="28"/>
      <c r="HA78" s="28"/>
      <c r="HB78" s="28"/>
      <c r="HC78" s="28"/>
    </row>
    <row r="79" spans="1:211" s="56" customFormat="1" x14ac:dyDescent="0.25">
      <c r="A79" s="31" t="s">
        <v>82</v>
      </c>
      <c r="B79" s="57">
        <v>45152</v>
      </c>
      <c r="C79" s="58">
        <v>118</v>
      </c>
      <c r="D79" s="70">
        <v>3033.65</v>
      </c>
      <c r="E79" s="70">
        <v>15273.02</v>
      </c>
      <c r="F79" s="70">
        <v>15142.93</v>
      </c>
      <c r="G79" s="70" t="s">
        <v>323</v>
      </c>
      <c r="H79" s="70">
        <v>3256.16</v>
      </c>
      <c r="I79" s="70">
        <v>3033.65</v>
      </c>
      <c r="J79" s="70">
        <v>0</v>
      </c>
      <c r="K79" s="70">
        <v>54.09</v>
      </c>
      <c r="L79" s="70">
        <v>0</v>
      </c>
      <c r="M79" s="70">
        <v>455.02</v>
      </c>
      <c r="N79" s="70"/>
      <c r="O79" s="70">
        <v>7836.86</v>
      </c>
      <c r="P79" s="70">
        <v>115</v>
      </c>
      <c r="Q79" s="70">
        <v>9230.2000000000007</v>
      </c>
      <c r="R79" s="70">
        <v>10481.85</v>
      </c>
      <c r="S79" s="70">
        <v>6269.43</v>
      </c>
      <c r="T79" s="71">
        <f t="shared" si="5"/>
        <v>74181.860000000015</v>
      </c>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c r="CD79" s="28"/>
      <c r="CE79" s="28"/>
      <c r="CF79" s="28"/>
      <c r="CG79" s="28"/>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8"/>
      <c r="DS79" s="28"/>
      <c r="DT79" s="28"/>
      <c r="DU79" s="28"/>
      <c r="DV79" s="28"/>
      <c r="DW79" s="28"/>
      <c r="DX79" s="28"/>
      <c r="DY79" s="28"/>
      <c r="DZ79" s="28"/>
      <c r="EA79" s="28"/>
      <c r="EB79" s="28"/>
      <c r="EC79" s="28"/>
      <c r="ED79" s="28"/>
      <c r="EE79" s="28"/>
      <c r="EF79" s="28"/>
      <c r="EG79" s="28"/>
      <c r="EH79" s="28"/>
      <c r="EI79" s="28"/>
      <c r="EJ79" s="28"/>
      <c r="EK79" s="28"/>
      <c r="EL79" s="28"/>
      <c r="EM79" s="28"/>
      <c r="EN79" s="28"/>
      <c r="EO79" s="28"/>
      <c r="EP79" s="28"/>
      <c r="EQ79" s="28"/>
      <c r="ER79" s="28"/>
      <c r="ES79" s="28"/>
      <c r="ET79" s="28"/>
      <c r="EU79" s="28"/>
      <c r="EV79" s="28"/>
      <c r="EW79" s="28"/>
      <c r="EX79" s="28"/>
      <c r="EY79" s="28"/>
      <c r="EZ79" s="28"/>
      <c r="FA79" s="28"/>
      <c r="FB79" s="28"/>
      <c r="FC79" s="28"/>
      <c r="FD79" s="28"/>
      <c r="FE79" s="28"/>
      <c r="FF79" s="28"/>
      <c r="FG79" s="28"/>
      <c r="FH79" s="28"/>
      <c r="FI79" s="28"/>
      <c r="FJ79" s="28"/>
      <c r="FK79" s="28"/>
      <c r="FL79" s="28"/>
      <c r="FM79" s="28"/>
      <c r="FN79" s="28"/>
      <c r="FO79" s="28"/>
      <c r="FP79" s="28"/>
      <c r="FQ79" s="28"/>
      <c r="FR79" s="28"/>
      <c r="FS79" s="28"/>
      <c r="FT79" s="28"/>
      <c r="FU79" s="28"/>
      <c r="FV79" s="28"/>
      <c r="FW79" s="28"/>
      <c r="FX79" s="28"/>
      <c r="FY79" s="28"/>
      <c r="FZ79" s="28"/>
      <c r="GA79" s="28"/>
      <c r="GB79" s="28"/>
      <c r="GC79" s="28"/>
      <c r="GD79" s="28"/>
      <c r="GE79" s="28"/>
      <c r="GF79" s="28"/>
      <c r="GG79" s="28"/>
      <c r="GH79" s="28"/>
      <c r="GI79" s="28"/>
      <c r="GJ79" s="28"/>
      <c r="GK79" s="28"/>
      <c r="GL79" s="28"/>
      <c r="GM79" s="28"/>
      <c r="GN79" s="28"/>
      <c r="GO79" s="28"/>
      <c r="GP79" s="28"/>
      <c r="GQ79" s="28"/>
      <c r="GR79" s="28"/>
      <c r="GS79" s="28"/>
      <c r="GT79" s="28"/>
      <c r="GU79" s="28"/>
      <c r="GV79" s="28"/>
      <c r="GW79" s="28"/>
      <c r="GX79" s="28"/>
      <c r="GY79" s="28"/>
      <c r="GZ79" s="28"/>
      <c r="HA79" s="28"/>
      <c r="HB79" s="28"/>
      <c r="HC79" s="28"/>
    </row>
    <row r="80" spans="1:211" s="56" customFormat="1" x14ac:dyDescent="0.25">
      <c r="A80" s="31" t="s">
        <v>83</v>
      </c>
      <c r="B80" s="57">
        <v>45217</v>
      </c>
      <c r="C80" s="58">
        <v>32</v>
      </c>
      <c r="D80" s="70">
        <v>3160.98</v>
      </c>
      <c r="E80" s="70">
        <v>2749.28</v>
      </c>
      <c r="F80" s="70">
        <v>15969.74</v>
      </c>
      <c r="G80" s="70">
        <v>1319.36</v>
      </c>
      <c r="H80" s="70">
        <v>824.6</v>
      </c>
      <c r="I80" s="70">
        <v>907.09</v>
      </c>
      <c r="J80" s="70">
        <v>0</v>
      </c>
      <c r="K80" s="70">
        <v>1.43</v>
      </c>
      <c r="L80" s="70">
        <v>302.37</v>
      </c>
      <c r="M80" s="70">
        <v>0</v>
      </c>
      <c r="N80" s="70">
        <v>0</v>
      </c>
      <c r="O80" s="70">
        <v>3205.74</v>
      </c>
      <c r="P80" s="70">
        <v>64</v>
      </c>
      <c r="Q80" s="70"/>
      <c r="R80" s="70">
        <v>4969.88</v>
      </c>
      <c r="S80" s="70">
        <v>2805.07</v>
      </c>
      <c r="T80" s="71">
        <f t="shared" si="5"/>
        <v>36279.539999999994</v>
      </c>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c r="CE80" s="28"/>
      <c r="CF80" s="28"/>
      <c r="CG80" s="28"/>
      <c r="CH80" s="28"/>
      <c r="CI80" s="28"/>
      <c r="CJ80" s="28"/>
      <c r="CK80" s="28"/>
      <c r="CL80" s="28"/>
      <c r="CM80" s="28"/>
      <c r="CN80" s="28"/>
      <c r="CO80" s="28"/>
      <c r="CP80" s="28"/>
      <c r="CQ80" s="28"/>
      <c r="CR80" s="28"/>
      <c r="CS80" s="28"/>
      <c r="CT80" s="28"/>
      <c r="CU80" s="28"/>
      <c r="CV80" s="28"/>
      <c r="CW80" s="28"/>
      <c r="CX80" s="28"/>
      <c r="CY80" s="28"/>
      <c r="CZ80" s="28"/>
      <c r="DA80" s="28"/>
      <c r="DB80" s="28"/>
      <c r="DC80" s="28"/>
      <c r="DD80" s="28"/>
      <c r="DE80" s="28"/>
      <c r="DF80" s="28"/>
      <c r="DG80" s="28"/>
      <c r="DH80" s="28"/>
      <c r="DI80" s="28"/>
      <c r="DJ80" s="28"/>
      <c r="DK80" s="28"/>
      <c r="DL80" s="28"/>
      <c r="DM80" s="28"/>
      <c r="DN80" s="28"/>
      <c r="DO80" s="28"/>
      <c r="DP80" s="28"/>
      <c r="DQ80" s="28"/>
      <c r="DR80" s="28"/>
      <c r="DS80" s="28"/>
      <c r="DT80" s="28"/>
      <c r="DU80" s="28"/>
      <c r="DV80" s="28"/>
      <c r="DW80" s="28"/>
      <c r="DX80" s="28"/>
      <c r="DY80" s="28"/>
      <c r="DZ80" s="28"/>
      <c r="EA80" s="28"/>
      <c r="EB80" s="28"/>
      <c r="EC80" s="28"/>
      <c r="ED80" s="28"/>
      <c r="EE80" s="28"/>
      <c r="EF80" s="28"/>
      <c r="EG80" s="28"/>
      <c r="EH80" s="28"/>
      <c r="EI80" s="28"/>
      <c r="EJ80" s="28"/>
      <c r="EK80" s="28"/>
      <c r="EL80" s="28"/>
      <c r="EM80" s="28"/>
      <c r="EN80" s="28"/>
      <c r="EO80" s="28"/>
      <c r="EP80" s="28"/>
      <c r="EQ80" s="28"/>
      <c r="ER80" s="28"/>
      <c r="ES80" s="28"/>
      <c r="ET80" s="28"/>
      <c r="EU80" s="28"/>
      <c r="EV80" s="28"/>
      <c r="EW80" s="28"/>
      <c r="EX80" s="28"/>
      <c r="EY80" s="28"/>
      <c r="EZ80" s="28"/>
      <c r="FA80" s="28"/>
      <c r="FB80" s="28"/>
      <c r="FC80" s="28"/>
      <c r="FD80" s="28"/>
      <c r="FE80" s="28"/>
      <c r="FF80" s="28"/>
      <c r="FG80" s="28"/>
      <c r="FH80" s="28"/>
      <c r="FI80" s="28"/>
      <c r="FJ80" s="28"/>
      <c r="FK80" s="28"/>
      <c r="FL80" s="28"/>
      <c r="FM80" s="28"/>
      <c r="FN80" s="28"/>
      <c r="FO80" s="28"/>
      <c r="FP80" s="28"/>
      <c r="FQ80" s="28"/>
      <c r="FR80" s="28"/>
      <c r="FS80" s="28"/>
      <c r="FT80" s="28"/>
      <c r="FU80" s="28"/>
      <c r="FV80" s="28"/>
      <c r="FW80" s="28"/>
      <c r="FX80" s="28"/>
      <c r="FY80" s="28"/>
      <c r="FZ80" s="28"/>
      <c r="GA80" s="28"/>
      <c r="GB80" s="28"/>
      <c r="GC80" s="28"/>
      <c r="GD80" s="28"/>
      <c r="GE80" s="28"/>
      <c r="GF80" s="28"/>
      <c r="GG80" s="28"/>
      <c r="GH80" s="28"/>
      <c r="GI80" s="28"/>
      <c r="GJ80" s="28"/>
      <c r="GK80" s="28"/>
      <c r="GL80" s="28"/>
      <c r="GM80" s="28"/>
      <c r="GN80" s="28"/>
      <c r="GO80" s="28"/>
      <c r="GP80" s="28"/>
      <c r="GQ80" s="28"/>
      <c r="GR80" s="28"/>
      <c r="GS80" s="28"/>
      <c r="GT80" s="28"/>
      <c r="GU80" s="28"/>
      <c r="GV80" s="28"/>
      <c r="GW80" s="28"/>
      <c r="GX80" s="28"/>
      <c r="GY80" s="28"/>
      <c r="GZ80" s="28"/>
      <c r="HA80" s="28"/>
      <c r="HB80" s="28"/>
      <c r="HC80" s="28"/>
    </row>
    <row r="81" spans="1:211" s="56" customFormat="1" x14ac:dyDescent="0.25">
      <c r="A81" s="31" t="s">
        <v>84</v>
      </c>
      <c r="B81" s="57">
        <v>45127</v>
      </c>
      <c r="C81" s="58">
        <v>97</v>
      </c>
      <c r="D81" s="70">
        <v>9980.39</v>
      </c>
      <c r="E81" s="70">
        <v>7723.96</v>
      </c>
      <c r="F81" s="70">
        <v>41136.19</v>
      </c>
      <c r="G81" s="70">
        <v>7984.26</v>
      </c>
      <c r="H81" s="70">
        <v>6074.95</v>
      </c>
      <c r="I81" s="70">
        <v>1475.43</v>
      </c>
      <c r="J81" s="70">
        <v>3297.83</v>
      </c>
      <c r="K81" s="70">
        <v>6428.75</v>
      </c>
      <c r="L81" s="70">
        <v>0</v>
      </c>
      <c r="M81" s="70">
        <v>520.67999999999995</v>
      </c>
      <c r="N81" s="70">
        <v>0</v>
      </c>
      <c r="O81" s="70">
        <v>12488.75</v>
      </c>
      <c r="P81" s="70">
        <v>194</v>
      </c>
      <c r="Q81" s="70">
        <v>7017.67</v>
      </c>
      <c r="R81" s="70">
        <v>18328</v>
      </c>
      <c r="S81" s="70">
        <v>10619.49</v>
      </c>
      <c r="T81" s="71">
        <f t="shared" si="5"/>
        <v>133270.34999999998</v>
      </c>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28"/>
      <c r="CA81" s="28"/>
      <c r="CB81" s="28"/>
      <c r="CC81" s="28"/>
      <c r="CD81" s="28"/>
      <c r="CE81" s="28"/>
      <c r="CF81" s="28"/>
      <c r="CG81" s="28"/>
      <c r="CH81" s="28"/>
      <c r="CI81" s="28"/>
      <c r="CJ81" s="28"/>
      <c r="CK81" s="28"/>
      <c r="CL81" s="28"/>
      <c r="CM81" s="28"/>
      <c r="CN81" s="28"/>
      <c r="CO81" s="28"/>
      <c r="CP81" s="28"/>
      <c r="CQ81" s="28"/>
      <c r="CR81" s="28"/>
      <c r="CS81" s="28"/>
      <c r="CT81" s="28"/>
      <c r="CU81" s="28"/>
      <c r="CV81" s="28"/>
      <c r="CW81" s="28"/>
      <c r="CX81" s="28"/>
      <c r="CY81" s="28"/>
      <c r="CZ81" s="28"/>
      <c r="DA81" s="28"/>
      <c r="DB81" s="28"/>
      <c r="DC81" s="28"/>
      <c r="DD81" s="28"/>
      <c r="DE81" s="28"/>
      <c r="DF81" s="28"/>
      <c r="DG81" s="28"/>
      <c r="DH81" s="28"/>
      <c r="DI81" s="28"/>
      <c r="DJ81" s="28"/>
      <c r="DK81" s="28"/>
      <c r="DL81" s="28"/>
      <c r="DM81" s="28"/>
      <c r="DN81" s="28"/>
      <c r="DO81" s="28"/>
      <c r="DP81" s="28"/>
      <c r="DQ81" s="28"/>
      <c r="DR81" s="28"/>
      <c r="DS81" s="28"/>
      <c r="DT81" s="28"/>
      <c r="DU81" s="28"/>
      <c r="DV81" s="28"/>
      <c r="DW81" s="28"/>
      <c r="DX81" s="28"/>
      <c r="DY81" s="28"/>
      <c r="DZ81" s="28"/>
      <c r="EA81" s="28"/>
      <c r="EB81" s="28"/>
      <c r="EC81" s="28"/>
      <c r="ED81" s="28"/>
      <c r="EE81" s="28"/>
      <c r="EF81" s="28"/>
      <c r="EG81" s="28"/>
      <c r="EH81" s="28"/>
      <c r="EI81" s="28"/>
      <c r="EJ81" s="28"/>
      <c r="EK81" s="28"/>
      <c r="EL81" s="28"/>
      <c r="EM81" s="28"/>
      <c r="EN81" s="28"/>
      <c r="EO81" s="28"/>
      <c r="EP81" s="28"/>
      <c r="EQ81" s="28"/>
      <c r="ER81" s="28"/>
      <c r="ES81" s="28"/>
      <c r="ET81" s="28"/>
      <c r="EU81" s="28"/>
      <c r="EV81" s="28"/>
      <c r="EW81" s="28"/>
      <c r="EX81" s="28"/>
      <c r="EY81" s="28"/>
      <c r="EZ81" s="28"/>
      <c r="FA81" s="28"/>
      <c r="FB81" s="28"/>
      <c r="FC81" s="28"/>
      <c r="FD81" s="28"/>
      <c r="FE81" s="28"/>
      <c r="FF81" s="28"/>
      <c r="FG81" s="28"/>
      <c r="FH81" s="28"/>
      <c r="FI81" s="28"/>
      <c r="FJ81" s="28"/>
      <c r="FK81" s="28"/>
      <c r="FL81" s="28"/>
      <c r="FM81" s="28"/>
      <c r="FN81" s="28"/>
      <c r="FO81" s="28"/>
      <c r="FP81" s="28"/>
      <c r="FQ81" s="28"/>
      <c r="FR81" s="28"/>
      <c r="FS81" s="28"/>
      <c r="FT81" s="28"/>
      <c r="FU81" s="28"/>
      <c r="FV81" s="28"/>
      <c r="FW81" s="28"/>
      <c r="FX81" s="28"/>
      <c r="FY81" s="28"/>
      <c r="FZ81" s="28"/>
      <c r="GA81" s="28"/>
      <c r="GB81" s="28"/>
      <c r="GC81" s="28"/>
      <c r="GD81" s="28"/>
      <c r="GE81" s="28"/>
      <c r="GF81" s="28"/>
      <c r="GG81" s="28"/>
      <c r="GH81" s="28"/>
      <c r="GI81" s="28"/>
      <c r="GJ81" s="28"/>
      <c r="GK81" s="28"/>
      <c r="GL81" s="28"/>
      <c r="GM81" s="28"/>
      <c r="GN81" s="28"/>
      <c r="GO81" s="28"/>
      <c r="GP81" s="28"/>
      <c r="GQ81" s="28"/>
      <c r="GR81" s="28"/>
      <c r="GS81" s="28"/>
      <c r="GT81" s="28"/>
      <c r="GU81" s="28"/>
      <c r="GV81" s="28"/>
      <c r="GW81" s="28"/>
      <c r="GX81" s="28"/>
      <c r="GY81" s="28"/>
      <c r="GZ81" s="28"/>
      <c r="HA81" s="28"/>
      <c r="HB81" s="28"/>
      <c r="HC81" s="28"/>
    </row>
    <row r="82" spans="1:211" s="65" customFormat="1" x14ac:dyDescent="0.25">
      <c r="A82" s="31" t="s">
        <v>85</v>
      </c>
      <c r="B82" s="57">
        <v>45183</v>
      </c>
      <c r="C82" s="58">
        <v>1</v>
      </c>
      <c r="D82" s="70">
        <v>25.3</v>
      </c>
      <c r="E82" s="70">
        <v>25.3</v>
      </c>
      <c r="F82" s="70">
        <v>186.12</v>
      </c>
      <c r="G82" s="70">
        <v>23.98</v>
      </c>
      <c r="H82" s="70">
        <v>8.8000000000000007</v>
      </c>
      <c r="I82" s="70">
        <v>28.82</v>
      </c>
      <c r="J82" s="70">
        <v>0</v>
      </c>
      <c r="K82" s="70">
        <v>0</v>
      </c>
      <c r="L82" s="70">
        <v>0</v>
      </c>
      <c r="M82" s="70">
        <v>0</v>
      </c>
      <c r="N82" s="70">
        <v>0</v>
      </c>
      <c r="O82" s="70">
        <v>45.23</v>
      </c>
      <c r="P82" s="70">
        <v>5</v>
      </c>
      <c r="Q82" s="70">
        <v>55.97</v>
      </c>
      <c r="R82" s="70">
        <v>72.86</v>
      </c>
      <c r="S82" s="70">
        <v>50.43</v>
      </c>
      <c r="T82" s="71">
        <f t="shared" si="5"/>
        <v>527.80999999999995</v>
      </c>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row>
    <row r="83" spans="1:211" s="56" customFormat="1" x14ac:dyDescent="0.25">
      <c r="A83" s="31" t="s">
        <v>86</v>
      </c>
      <c r="B83" s="57">
        <v>45149</v>
      </c>
      <c r="C83" s="58">
        <v>36</v>
      </c>
      <c r="D83" s="70">
        <v>2317.36</v>
      </c>
      <c r="E83" s="70">
        <v>4574.26</v>
      </c>
      <c r="F83" s="70">
        <v>11042.73</v>
      </c>
      <c r="G83" s="70">
        <v>1329.96</v>
      </c>
      <c r="H83" s="70">
        <v>1511.32</v>
      </c>
      <c r="I83" s="70">
        <v>806.05</v>
      </c>
      <c r="J83" s="70"/>
      <c r="K83" s="70"/>
      <c r="L83" s="70">
        <v>12199.88</v>
      </c>
      <c r="M83" s="70">
        <v>0</v>
      </c>
      <c r="N83" s="70"/>
      <c r="O83" s="70">
        <v>5109.88</v>
      </c>
      <c r="P83" s="70">
        <v>1044</v>
      </c>
      <c r="Q83" s="70">
        <v>5491.6</v>
      </c>
      <c r="R83" s="70">
        <v>7854.6</v>
      </c>
      <c r="S83" s="70">
        <v>4467.33</v>
      </c>
      <c r="T83" s="71">
        <f t="shared" si="5"/>
        <v>57748.969999999994</v>
      </c>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c r="CD83" s="28"/>
      <c r="CE83" s="28"/>
      <c r="CF83" s="28"/>
      <c r="CG83" s="28"/>
      <c r="CH83" s="28"/>
      <c r="CI83" s="28"/>
      <c r="CJ83" s="28"/>
      <c r="CK83" s="28"/>
      <c r="CL83" s="28"/>
      <c r="CM83" s="28"/>
      <c r="CN83" s="28"/>
      <c r="CO83" s="28"/>
      <c r="CP83" s="28"/>
      <c r="CQ83" s="28"/>
      <c r="CR83" s="28"/>
      <c r="CS83" s="28"/>
      <c r="CT83" s="28"/>
      <c r="CU83" s="28"/>
      <c r="CV83" s="28"/>
      <c r="CW83" s="28"/>
      <c r="CX83" s="28"/>
      <c r="CY83" s="28"/>
      <c r="CZ83" s="28"/>
      <c r="DA83" s="28"/>
      <c r="DB83" s="28"/>
      <c r="DC83" s="28"/>
      <c r="DD83" s="28"/>
      <c r="DE83" s="28"/>
      <c r="DF83" s="28"/>
      <c r="DG83" s="28"/>
      <c r="DH83" s="28"/>
      <c r="DI83" s="28"/>
      <c r="DJ83" s="28"/>
      <c r="DK83" s="28"/>
      <c r="DL83" s="28"/>
      <c r="DM83" s="28"/>
      <c r="DN83" s="28"/>
      <c r="DO83" s="28"/>
      <c r="DP83" s="28"/>
      <c r="DQ83" s="28"/>
      <c r="DR83" s="28"/>
      <c r="DS83" s="28"/>
      <c r="DT83" s="28"/>
      <c r="DU83" s="28"/>
      <c r="DV83" s="28"/>
      <c r="DW83" s="28"/>
      <c r="DX83" s="28"/>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row>
    <row r="84" spans="1:211" s="56" customFormat="1" x14ac:dyDescent="0.25">
      <c r="A84" s="31" t="s">
        <v>87</v>
      </c>
      <c r="B84" s="57">
        <v>45155</v>
      </c>
      <c r="C84" s="58">
        <v>78</v>
      </c>
      <c r="D84" s="70">
        <v>5670.63</v>
      </c>
      <c r="E84" s="70">
        <v>10650.95</v>
      </c>
      <c r="F84" s="70">
        <v>29487.37</v>
      </c>
      <c r="G84" s="70">
        <v>4832.37</v>
      </c>
      <c r="H84" s="70">
        <v>1331.34</v>
      </c>
      <c r="I84" s="70">
        <v>1528.58</v>
      </c>
      <c r="J84" s="70">
        <v>0</v>
      </c>
      <c r="K84" s="70">
        <v>3700.65</v>
      </c>
      <c r="L84" s="70">
        <v>409.82</v>
      </c>
      <c r="M84" s="70">
        <v>394.47</v>
      </c>
      <c r="N84" s="70">
        <v>0</v>
      </c>
      <c r="O84" s="70">
        <v>8814.19</v>
      </c>
      <c r="P84" s="70">
        <v>702</v>
      </c>
      <c r="Q84" s="70">
        <v>9431.69</v>
      </c>
      <c r="R84" s="70">
        <v>13487.59</v>
      </c>
      <c r="S84" s="70">
        <v>7913.81</v>
      </c>
      <c r="T84" s="71">
        <f t="shared" si="5"/>
        <v>98355.459999999992</v>
      </c>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c r="CE84" s="28"/>
      <c r="CF84" s="28"/>
      <c r="CG84" s="28"/>
      <c r="CH84" s="28"/>
      <c r="CI84" s="28"/>
      <c r="CJ84" s="28"/>
      <c r="CK84" s="28"/>
      <c r="CL84" s="28"/>
      <c r="CM84" s="28"/>
      <c r="CN84" s="28"/>
      <c r="CO84" s="28"/>
      <c r="CP84" s="28"/>
      <c r="CQ84" s="28"/>
      <c r="CR84" s="28"/>
      <c r="CS84" s="28"/>
      <c r="CT84" s="28"/>
      <c r="CU84" s="28"/>
      <c r="CV84" s="28"/>
      <c r="CW84" s="28"/>
      <c r="CX84" s="28"/>
      <c r="CY84" s="28"/>
      <c r="CZ84" s="28"/>
      <c r="DA84" s="28"/>
      <c r="DB84" s="28"/>
      <c r="DC84" s="28"/>
      <c r="DD84" s="28"/>
      <c r="DE84" s="28"/>
      <c r="DF84" s="28"/>
      <c r="DG84" s="28"/>
      <c r="DH84" s="28"/>
      <c r="DI84" s="28"/>
      <c r="DJ84" s="28"/>
      <c r="DK84" s="28"/>
      <c r="DL84" s="28"/>
      <c r="DM84" s="28"/>
      <c r="DN84" s="28"/>
      <c r="DO84" s="28"/>
      <c r="DP84" s="28"/>
      <c r="DQ84" s="28"/>
      <c r="DR84" s="28"/>
      <c r="DS84" s="28"/>
      <c r="DT84" s="28"/>
      <c r="DU84" s="28"/>
      <c r="DV84" s="28"/>
      <c r="DW84" s="28"/>
      <c r="DX84" s="28"/>
      <c r="DY84" s="28"/>
      <c r="DZ84" s="28"/>
      <c r="EA84" s="28"/>
      <c r="EB84" s="28"/>
      <c r="EC84" s="28"/>
      <c r="ED84" s="28"/>
      <c r="EE84" s="28"/>
      <c r="EF84" s="28"/>
      <c r="EG84" s="28"/>
      <c r="EH84" s="28"/>
      <c r="EI84" s="28"/>
      <c r="EJ84" s="28"/>
      <c r="EK84" s="28"/>
      <c r="EL84" s="28"/>
      <c r="EM84" s="28"/>
      <c r="EN84" s="28"/>
      <c r="EO84" s="28"/>
      <c r="EP84" s="28"/>
      <c r="EQ84" s="28"/>
      <c r="ER84" s="28"/>
      <c r="ES84" s="28"/>
      <c r="ET84" s="28"/>
      <c r="EU84" s="28"/>
      <c r="EV84" s="28"/>
      <c r="EW84" s="28"/>
      <c r="EX84" s="28"/>
      <c r="EY84" s="28"/>
      <c r="EZ84" s="28"/>
      <c r="FA84" s="28"/>
      <c r="FB84" s="28"/>
      <c r="FC84" s="28"/>
      <c r="FD84" s="28"/>
      <c r="FE84" s="28"/>
      <c r="FF84" s="28"/>
      <c r="FG84" s="28"/>
      <c r="FH84" s="28"/>
      <c r="FI84" s="28"/>
      <c r="FJ84" s="28"/>
      <c r="FK84" s="28"/>
      <c r="FL84" s="28"/>
      <c r="FM84" s="28"/>
      <c r="FN84" s="28"/>
      <c r="FO84" s="28"/>
      <c r="FP84" s="28"/>
      <c r="FQ84" s="28"/>
      <c r="FR84" s="28"/>
      <c r="FS84" s="28"/>
      <c r="FT84" s="28"/>
      <c r="FU84" s="28"/>
      <c r="FV84" s="28"/>
      <c r="FW84" s="28"/>
      <c r="FX84" s="28"/>
      <c r="FY84" s="28"/>
      <c r="FZ84" s="28"/>
      <c r="GA84" s="28"/>
      <c r="GB84" s="28"/>
      <c r="GC84" s="28"/>
      <c r="GD84" s="28"/>
      <c r="GE84" s="28"/>
      <c r="GF84" s="28"/>
      <c r="GG84" s="28"/>
      <c r="GH84" s="28"/>
      <c r="GI84" s="28"/>
      <c r="GJ84" s="28"/>
      <c r="GK84" s="28"/>
      <c r="GL84" s="28"/>
      <c r="GM84" s="28"/>
      <c r="GN84" s="28"/>
      <c r="GO84" s="28"/>
      <c r="GP84" s="28"/>
      <c r="GQ84" s="28"/>
      <c r="GR84" s="28"/>
      <c r="GS84" s="28"/>
      <c r="GT84" s="28"/>
      <c r="GU84" s="28"/>
      <c r="GV84" s="28"/>
      <c r="GW84" s="28"/>
      <c r="GX84" s="28"/>
      <c r="GY84" s="28"/>
      <c r="GZ84" s="28"/>
      <c r="HA84" s="28"/>
      <c r="HB84" s="28"/>
      <c r="HC84" s="28"/>
    </row>
    <row r="85" spans="1:211" s="56" customFormat="1" x14ac:dyDescent="0.25">
      <c r="A85" s="31" t="s">
        <v>88</v>
      </c>
      <c r="B85" s="57">
        <v>45168</v>
      </c>
      <c r="C85" s="58">
        <v>11</v>
      </c>
      <c r="D85" s="70">
        <v>333.52</v>
      </c>
      <c r="E85" s="70">
        <v>350.94</v>
      </c>
      <c r="F85" s="70">
        <v>1557.44</v>
      </c>
      <c r="G85" s="70">
        <v>310.32</v>
      </c>
      <c r="H85" s="70">
        <v>232.02</v>
      </c>
      <c r="I85" s="70">
        <v>194.31</v>
      </c>
      <c r="J85" s="70">
        <v>0</v>
      </c>
      <c r="K85" s="70">
        <v>252.31</v>
      </c>
      <c r="L85" s="70">
        <v>3.6</v>
      </c>
      <c r="M85" s="70">
        <v>156.61000000000001</v>
      </c>
      <c r="N85" s="70">
        <v>252.31</v>
      </c>
      <c r="O85" s="70">
        <v>557.1</v>
      </c>
      <c r="P85" s="70">
        <v>66</v>
      </c>
      <c r="Q85" s="70">
        <v>592.79999999999995</v>
      </c>
      <c r="R85" s="70">
        <v>127.08</v>
      </c>
      <c r="S85" s="70">
        <v>588.58000000000004</v>
      </c>
      <c r="T85" s="71">
        <f t="shared" si="5"/>
        <v>5574.9400000000005</v>
      </c>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28"/>
      <c r="DY85" s="28"/>
      <c r="DZ85" s="28"/>
      <c r="EA85" s="28"/>
      <c r="EB85" s="28"/>
      <c r="EC85" s="28"/>
      <c r="ED85" s="28"/>
      <c r="EE85" s="28"/>
      <c r="EF85" s="28"/>
      <c r="EG85" s="28"/>
      <c r="EH85" s="28"/>
      <c r="EI85" s="28"/>
      <c r="EJ85" s="28"/>
      <c r="EK85" s="28"/>
      <c r="EL85" s="28"/>
      <c r="EM85" s="28"/>
      <c r="EN85" s="28"/>
      <c r="EO85" s="28"/>
      <c r="EP85" s="28"/>
      <c r="EQ85" s="28"/>
      <c r="ER85" s="28"/>
      <c r="ES85" s="28"/>
      <c r="ET85" s="28"/>
      <c r="EU85" s="28"/>
      <c r="EV85" s="28"/>
      <c r="EW85" s="28"/>
      <c r="EX85" s="28"/>
      <c r="EY85" s="28"/>
      <c r="EZ85" s="28"/>
      <c r="FA85" s="28"/>
      <c r="FB85" s="28"/>
      <c r="FC85" s="28"/>
      <c r="FD85" s="28"/>
      <c r="FE85" s="28"/>
      <c r="FF85" s="28"/>
      <c r="FG85" s="28"/>
      <c r="FH85" s="28"/>
      <c r="FI85" s="28"/>
      <c r="FJ85" s="28"/>
      <c r="FK85" s="28"/>
      <c r="FL85" s="28"/>
      <c r="FM85" s="28"/>
      <c r="FN85" s="28"/>
      <c r="FO85" s="28"/>
      <c r="FP85" s="28"/>
      <c r="FQ85" s="28"/>
      <c r="FR85" s="28"/>
      <c r="FS85" s="28"/>
      <c r="FT85" s="28"/>
      <c r="FU85" s="28"/>
      <c r="FV85" s="28"/>
      <c r="FW85" s="28"/>
      <c r="FX85" s="28"/>
      <c r="FY85" s="28"/>
      <c r="FZ85" s="28"/>
      <c r="GA85" s="28"/>
      <c r="GB85" s="28"/>
      <c r="GC85" s="28"/>
      <c r="GD85" s="28"/>
      <c r="GE85" s="28"/>
      <c r="GF85" s="28"/>
      <c r="GG85" s="28"/>
      <c r="GH85" s="28"/>
      <c r="GI85" s="28"/>
      <c r="GJ85" s="28"/>
      <c r="GK85" s="28"/>
      <c r="GL85" s="28"/>
      <c r="GM85" s="28"/>
      <c r="GN85" s="28"/>
      <c r="GO85" s="28"/>
      <c r="GP85" s="28"/>
      <c r="GQ85" s="28"/>
      <c r="GR85" s="28"/>
      <c r="GS85" s="28"/>
      <c r="GT85" s="28"/>
      <c r="GU85" s="28"/>
      <c r="GV85" s="28"/>
      <c r="GW85" s="28"/>
      <c r="GX85" s="28"/>
      <c r="GY85" s="28"/>
      <c r="GZ85" s="28"/>
      <c r="HA85" s="28"/>
      <c r="HB85" s="28"/>
      <c r="HC85" s="28"/>
    </row>
    <row r="86" spans="1:211" s="56" customFormat="1" x14ac:dyDescent="0.25">
      <c r="A86" s="31" t="s">
        <v>89</v>
      </c>
      <c r="B86" s="57">
        <v>45126</v>
      </c>
      <c r="C86" s="58">
        <v>61</v>
      </c>
      <c r="D86" s="70">
        <v>5950.61</v>
      </c>
      <c r="E86" s="70">
        <v>6519.96</v>
      </c>
      <c r="F86" s="70">
        <v>26257.040000000001</v>
      </c>
      <c r="G86" s="70">
        <v>3725.73</v>
      </c>
      <c r="H86" s="70">
        <v>2447.5700000000002</v>
      </c>
      <c r="I86" s="70">
        <v>2173.36</v>
      </c>
      <c r="J86" s="70">
        <v>0</v>
      </c>
      <c r="K86" s="70">
        <v>2753.93</v>
      </c>
      <c r="L86" s="70"/>
      <c r="M86" s="70">
        <v>362.23</v>
      </c>
      <c r="N86" s="70"/>
      <c r="O86" s="70">
        <v>7191.26</v>
      </c>
      <c r="P86" s="70">
        <v>854</v>
      </c>
      <c r="Q86" s="70">
        <v>7515.11</v>
      </c>
      <c r="R86" s="70">
        <v>11663.12</v>
      </c>
      <c r="S86" s="70">
        <v>6685.62</v>
      </c>
      <c r="T86" s="71">
        <f t="shared" si="5"/>
        <v>84099.54</v>
      </c>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28"/>
      <c r="BT86" s="28"/>
      <c r="BU86" s="28"/>
      <c r="BV86" s="28"/>
      <c r="BW86" s="28"/>
      <c r="BX86" s="28"/>
      <c r="BY86" s="28"/>
      <c r="BZ86" s="28"/>
      <c r="CA86" s="28"/>
      <c r="CB86" s="28"/>
      <c r="CC86" s="28"/>
      <c r="CD86" s="28"/>
      <c r="CE86" s="28"/>
      <c r="CF86" s="28"/>
      <c r="CG86" s="28"/>
      <c r="CH86" s="28"/>
      <c r="CI86" s="28"/>
      <c r="CJ86" s="28"/>
      <c r="CK86" s="28"/>
      <c r="CL86" s="28"/>
      <c r="CM86" s="28"/>
      <c r="CN86" s="28"/>
      <c r="CO86" s="28"/>
      <c r="CP86" s="28"/>
      <c r="CQ86" s="28"/>
      <c r="CR86" s="28"/>
      <c r="CS86" s="28"/>
      <c r="CT86" s="28"/>
      <c r="CU86" s="28"/>
      <c r="CV86" s="28"/>
      <c r="CW86" s="28"/>
      <c r="CX86" s="28"/>
      <c r="CY86" s="28"/>
      <c r="CZ86" s="28"/>
      <c r="DA86" s="28"/>
      <c r="DB86" s="28"/>
      <c r="DC86" s="28"/>
      <c r="DD86" s="28"/>
      <c r="DE86" s="28"/>
      <c r="DF86" s="28"/>
      <c r="DG86" s="28"/>
      <c r="DH86" s="28"/>
      <c r="DI86" s="28"/>
      <c r="DJ86" s="28"/>
      <c r="DK86" s="28"/>
      <c r="DL86" s="28"/>
      <c r="DM86" s="28"/>
      <c r="DN86" s="28"/>
      <c r="DO86" s="28"/>
      <c r="DP86" s="28"/>
      <c r="DQ86" s="28"/>
      <c r="DR86" s="28"/>
      <c r="DS86" s="28"/>
      <c r="DT86" s="28"/>
      <c r="DU86" s="28"/>
      <c r="DV86" s="28"/>
      <c r="DW86" s="28"/>
      <c r="DX86" s="28"/>
      <c r="DY86" s="28"/>
      <c r="DZ86" s="28"/>
      <c r="EA86" s="28"/>
      <c r="EB86" s="28"/>
      <c r="EC86" s="28"/>
      <c r="ED86" s="28"/>
      <c r="EE86" s="28"/>
      <c r="EF86" s="28"/>
      <c r="EG86" s="28"/>
      <c r="EH86" s="28"/>
      <c r="EI86" s="28"/>
      <c r="EJ86" s="28"/>
      <c r="EK86" s="28"/>
      <c r="EL86" s="28"/>
      <c r="EM86" s="28"/>
      <c r="EN86" s="28"/>
      <c r="EO86" s="28"/>
      <c r="EP86" s="28"/>
      <c r="EQ86" s="28"/>
      <c r="ER86" s="28"/>
      <c r="ES86" s="28"/>
      <c r="ET86" s="28"/>
      <c r="EU86" s="28"/>
      <c r="EV86" s="28"/>
      <c r="EW86" s="28"/>
      <c r="EX86" s="28"/>
      <c r="EY86" s="28"/>
      <c r="EZ86" s="28"/>
      <c r="FA86" s="28"/>
      <c r="FB86" s="28"/>
      <c r="FC86" s="28"/>
      <c r="FD86" s="28"/>
      <c r="FE86" s="28"/>
      <c r="FF86" s="28"/>
      <c r="FG86" s="28"/>
      <c r="FH86" s="28"/>
      <c r="FI86" s="28"/>
      <c r="FJ86" s="28"/>
      <c r="FK86" s="28"/>
      <c r="FL86" s="28"/>
      <c r="FM86" s="28"/>
      <c r="FN86" s="28"/>
      <c r="FO86" s="28"/>
      <c r="FP86" s="28"/>
      <c r="FQ86" s="28"/>
      <c r="FR86" s="28"/>
      <c r="FS86" s="28"/>
      <c r="FT86" s="28"/>
      <c r="FU86" s="28"/>
      <c r="FV86" s="28"/>
      <c r="FW86" s="28"/>
      <c r="FX86" s="28"/>
      <c r="FY86" s="28"/>
      <c r="FZ86" s="28"/>
      <c r="GA86" s="28"/>
      <c r="GB86" s="28"/>
      <c r="GC86" s="28"/>
      <c r="GD86" s="28"/>
      <c r="GE86" s="28"/>
      <c r="GF86" s="28"/>
      <c r="GG86" s="28"/>
      <c r="GH86" s="28"/>
      <c r="GI86" s="28"/>
      <c r="GJ86" s="28"/>
      <c r="GK86" s="28"/>
      <c r="GL86" s="28"/>
      <c r="GM86" s="28"/>
      <c r="GN86" s="28"/>
      <c r="GO86" s="28"/>
      <c r="GP86" s="28"/>
      <c r="GQ86" s="28"/>
      <c r="GR86" s="28"/>
      <c r="GS86" s="28"/>
      <c r="GT86" s="28"/>
      <c r="GU86" s="28"/>
      <c r="GV86" s="28"/>
      <c r="GW86" s="28"/>
      <c r="GX86" s="28"/>
      <c r="GY86" s="28"/>
      <c r="GZ86" s="28"/>
      <c r="HA86" s="28"/>
      <c r="HB86" s="28"/>
      <c r="HC86" s="28"/>
    </row>
    <row r="87" spans="1:211" s="56" customFormat="1" x14ac:dyDescent="0.25">
      <c r="A87" s="31" t="s">
        <v>90</v>
      </c>
      <c r="B87" s="57">
        <v>45188</v>
      </c>
      <c r="C87" s="58">
        <v>45</v>
      </c>
      <c r="D87" s="70">
        <v>2292.35</v>
      </c>
      <c r="E87" s="70">
        <v>2634.23</v>
      </c>
      <c r="F87" s="70">
        <v>10325.58</v>
      </c>
      <c r="G87" s="70">
        <v>2372.11</v>
      </c>
      <c r="H87" s="70"/>
      <c r="I87" s="70">
        <v>2033.27</v>
      </c>
      <c r="J87" s="70"/>
      <c r="K87" s="70">
        <v>1695.56</v>
      </c>
      <c r="L87" s="70"/>
      <c r="M87" s="70">
        <v>318.95</v>
      </c>
      <c r="N87" s="70">
        <v>1156.1199999999999</v>
      </c>
      <c r="O87" s="70">
        <v>2893.74</v>
      </c>
      <c r="P87" s="70">
        <v>90</v>
      </c>
      <c r="Q87" s="70"/>
      <c r="R87" s="70">
        <v>4385.67</v>
      </c>
      <c r="S87" s="70">
        <v>2867.8</v>
      </c>
      <c r="T87" s="71">
        <f t="shared" si="5"/>
        <v>33065.380000000005</v>
      </c>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c r="CA87" s="28"/>
      <c r="CB87" s="28"/>
      <c r="CC87" s="28"/>
      <c r="CD87" s="28"/>
      <c r="CE87" s="28"/>
      <c r="CF87" s="28"/>
      <c r="CG87" s="28"/>
      <c r="CH87" s="28"/>
      <c r="CI87" s="28"/>
      <c r="CJ87" s="28"/>
      <c r="CK87" s="28"/>
      <c r="CL87" s="28"/>
      <c r="CM87" s="28"/>
      <c r="CN87" s="28"/>
      <c r="CO87" s="28"/>
      <c r="CP87" s="28"/>
      <c r="CQ87" s="28"/>
      <c r="CR87" s="28"/>
      <c r="CS87" s="28"/>
      <c r="CT87" s="28"/>
      <c r="CU87" s="28"/>
      <c r="CV87" s="28"/>
      <c r="CW87" s="28"/>
      <c r="CX87" s="28"/>
      <c r="CY87" s="28"/>
      <c r="CZ87" s="28"/>
      <c r="DA87" s="28"/>
      <c r="DB87" s="28"/>
      <c r="DC87" s="28"/>
      <c r="DD87" s="28"/>
      <c r="DE87" s="28"/>
      <c r="DF87" s="28"/>
      <c r="DG87" s="28"/>
      <c r="DH87" s="28"/>
      <c r="DI87" s="28"/>
      <c r="DJ87" s="28"/>
      <c r="DK87" s="28"/>
      <c r="DL87" s="28"/>
      <c r="DM87" s="28"/>
      <c r="DN87" s="28"/>
      <c r="DO87" s="28"/>
      <c r="DP87" s="28"/>
      <c r="DQ87" s="28"/>
      <c r="DR87" s="28"/>
      <c r="DS87" s="28"/>
      <c r="DT87" s="28"/>
      <c r="DU87" s="28"/>
      <c r="DV87" s="28"/>
      <c r="DW87" s="28"/>
      <c r="DX87" s="28"/>
      <c r="DY87" s="28"/>
      <c r="DZ87" s="28"/>
      <c r="EA87" s="28"/>
      <c r="EB87" s="28"/>
      <c r="EC87" s="28"/>
      <c r="ED87" s="28"/>
      <c r="EE87" s="28"/>
      <c r="EF87" s="28"/>
      <c r="EG87" s="28"/>
      <c r="EH87" s="28"/>
      <c r="EI87" s="28"/>
      <c r="EJ87" s="28"/>
      <c r="EK87" s="28"/>
      <c r="EL87" s="28"/>
      <c r="EM87" s="28"/>
      <c r="EN87" s="28"/>
      <c r="EO87" s="28"/>
      <c r="EP87" s="28"/>
      <c r="EQ87" s="28"/>
      <c r="ER87" s="28"/>
      <c r="ES87" s="28"/>
      <c r="ET87" s="28"/>
      <c r="EU87" s="28"/>
      <c r="EV87" s="28"/>
      <c r="EW87" s="28"/>
      <c r="EX87" s="28"/>
      <c r="EY87" s="28"/>
      <c r="EZ87" s="28"/>
      <c r="FA87" s="28"/>
      <c r="FB87" s="28"/>
      <c r="FC87" s="28"/>
      <c r="FD87" s="28"/>
      <c r="FE87" s="28"/>
      <c r="FF87" s="28"/>
      <c r="FG87" s="28"/>
      <c r="FH87" s="28"/>
      <c r="FI87" s="28"/>
      <c r="FJ87" s="28"/>
      <c r="FK87" s="28"/>
      <c r="FL87" s="28"/>
      <c r="FM87" s="28"/>
      <c r="FN87" s="28"/>
      <c r="FO87" s="28"/>
      <c r="FP87" s="28"/>
      <c r="FQ87" s="28"/>
      <c r="FR87" s="28"/>
      <c r="FS87" s="28"/>
      <c r="FT87" s="28"/>
      <c r="FU87" s="28"/>
      <c r="FV87" s="28"/>
      <c r="FW87" s="28"/>
      <c r="FX87" s="28"/>
      <c r="FY87" s="28"/>
      <c r="FZ87" s="28"/>
      <c r="GA87" s="28"/>
      <c r="GB87" s="28"/>
      <c r="GC87" s="28"/>
      <c r="GD87" s="28"/>
      <c r="GE87" s="28"/>
      <c r="GF87" s="28"/>
      <c r="GG87" s="28"/>
      <c r="GH87" s="28"/>
      <c r="GI87" s="28"/>
      <c r="GJ87" s="28"/>
      <c r="GK87" s="28"/>
      <c r="GL87" s="28"/>
      <c r="GM87" s="28"/>
      <c r="GN87" s="28"/>
      <c r="GO87" s="28"/>
      <c r="GP87" s="28"/>
      <c r="GQ87" s="28"/>
      <c r="GR87" s="28"/>
      <c r="GS87" s="28"/>
      <c r="GT87" s="28"/>
      <c r="GU87" s="28"/>
      <c r="GV87" s="28"/>
      <c r="GW87" s="28"/>
      <c r="GX87" s="28"/>
      <c r="GY87" s="28"/>
      <c r="GZ87" s="28"/>
      <c r="HA87" s="28"/>
      <c r="HB87" s="28"/>
      <c r="HC87" s="28"/>
    </row>
    <row r="88" spans="1:211" s="56" customFormat="1" x14ac:dyDescent="0.25">
      <c r="A88" s="31" t="s">
        <v>91</v>
      </c>
      <c r="B88" s="57">
        <v>45196</v>
      </c>
      <c r="C88" s="58">
        <v>17</v>
      </c>
      <c r="D88" s="70">
        <v>714.01</v>
      </c>
      <c r="E88" s="70">
        <v>428.43</v>
      </c>
      <c r="F88" s="70">
        <v>3222.45</v>
      </c>
      <c r="G88" s="70">
        <v>322.87</v>
      </c>
      <c r="H88" s="70">
        <v>248.36</v>
      </c>
      <c r="I88" s="70">
        <v>279.43</v>
      </c>
      <c r="J88" s="70">
        <v>0</v>
      </c>
      <c r="K88" s="70">
        <v>0</v>
      </c>
      <c r="L88" s="70">
        <v>1.6</v>
      </c>
      <c r="M88" s="70">
        <v>86.93</v>
      </c>
      <c r="N88" s="70">
        <v>434.63</v>
      </c>
      <c r="O88" s="70">
        <v>871.76</v>
      </c>
      <c r="P88" s="70">
        <v>170</v>
      </c>
      <c r="Q88" s="70">
        <v>1004.92</v>
      </c>
      <c r="R88" s="70">
        <v>708.35</v>
      </c>
      <c r="S88" s="70">
        <v>929.35</v>
      </c>
      <c r="T88" s="71">
        <f t="shared" si="5"/>
        <v>9423.09</v>
      </c>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c r="BW88" s="28"/>
      <c r="BX88" s="28"/>
      <c r="BY88" s="28"/>
      <c r="BZ88" s="28"/>
      <c r="CA88" s="28"/>
      <c r="CB88" s="28"/>
      <c r="CC88" s="28"/>
      <c r="CD88" s="28"/>
      <c r="CE88" s="28"/>
      <c r="CF88" s="28"/>
      <c r="CG88" s="28"/>
      <c r="CH88" s="28"/>
      <c r="CI88" s="28"/>
      <c r="CJ88" s="28"/>
      <c r="CK88" s="28"/>
      <c r="CL88" s="28"/>
      <c r="CM88" s="28"/>
      <c r="CN88" s="28"/>
      <c r="CO88" s="28"/>
      <c r="CP88" s="28"/>
      <c r="CQ88" s="28"/>
      <c r="CR88" s="28"/>
      <c r="CS88" s="28"/>
      <c r="CT88" s="28"/>
      <c r="CU88" s="28"/>
      <c r="CV88" s="28"/>
      <c r="CW88" s="28"/>
      <c r="CX88" s="28"/>
      <c r="CY88" s="28"/>
      <c r="CZ88" s="28"/>
      <c r="DA88" s="28"/>
      <c r="DB88" s="28"/>
      <c r="DC88" s="28"/>
      <c r="DD88" s="28"/>
      <c r="DE88" s="28"/>
      <c r="DF88" s="28"/>
      <c r="DG88" s="28"/>
      <c r="DH88" s="28"/>
      <c r="DI88" s="28"/>
      <c r="DJ88" s="28"/>
      <c r="DK88" s="28"/>
      <c r="DL88" s="28"/>
      <c r="DM88" s="28"/>
      <c r="DN88" s="28"/>
      <c r="DO88" s="28"/>
      <c r="DP88" s="28"/>
      <c r="DQ88" s="28"/>
      <c r="DR88" s="28"/>
      <c r="DS88" s="28"/>
      <c r="DT88" s="28"/>
      <c r="DU88" s="28"/>
      <c r="DV88" s="28"/>
      <c r="DW88" s="28"/>
      <c r="DX88" s="28"/>
      <c r="DY88" s="28"/>
      <c r="DZ88" s="28"/>
      <c r="EA88" s="28"/>
      <c r="EB88" s="28"/>
      <c r="EC88" s="28"/>
      <c r="ED88" s="28"/>
      <c r="EE88" s="28"/>
      <c r="EF88" s="28"/>
      <c r="EG88" s="28"/>
      <c r="EH88" s="28"/>
      <c r="EI88" s="28"/>
      <c r="EJ88" s="28"/>
      <c r="EK88" s="28"/>
      <c r="EL88" s="28"/>
      <c r="EM88" s="28"/>
      <c r="EN88" s="28"/>
      <c r="EO88" s="28"/>
      <c r="EP88" s="28"/>
      <c r="EQ88" s="28"/>
      <c r="ER88" s="28"/>
      <c r="ES88" s="28"/>
      <c r="ET88" s="28"/>
      <c r="EU88" s="28"/>
      <c r="EV88" s="28"/>
      <c r="EW88" s="28"/>
      <c r="EX88" s="28"/>
      <c r="EY88" s="28"/>
      <c r="EZ88" s="28"/>
      <c r="FA88" s="28"/>
      <c r="FB88" s="28"/>
      <c r="FC88" s="28"/>
      <c r="FD88" s="28"/>
      <c r="FE88" s="28"/>
      <c r="FF88" s="28"/>
      <c r="FG88" s="28"/>
      <c r="FH88" s="28"/>
      <c r="FI88" s="28"/>
      <c r="FJ88" s="28"/>
      <c r="FK88" s="28"/>
      <c r="FL88" s="28"/>
      <c r="FM88" s="28"/>
      <c r="FN88" s="28"/>
      <c r="FO88" s="28"/>
      <c r="FP88" s="28"/>
      <c r="FQ88" s="28"/>
      <c r="FR88" s="28"/>
      <c r="FS88" s="28"/>
      <c r="FT88" s="28"/>
      <c r="FU88" s="28"/>
      <c r="FV88" s="28"/>
      <c r="FW88" s="28"/>
      <c r="FX88" s="28"/>
      <c r="FY88" s="28"/>
      <c r="FZ88" s="28"/>
      <c r="GA88" s="28"/>
      <c r="GB88" s="28"/>
      <c r="GC88" s="28"/>
      <c r="GD88" s="28"/>
      <c r="GE88" s="28"/>
      <c r="GF88" s="28"/>
      <c r="GG88" s="28"/>
      <c r="GH88" s="28"/>
      <c r="GI88" s="28"/>
      <c r="GJ88" s="28"/>
      <c r="GK88" s="28"/>
      <c r="GL88" s="28"/>
      <c r="GM88" s="28"/>
      <c r="GN88" s="28"/>
      <c r="GO88" s="28"/>
      <c r="GP88" s="28"/>
      <c r="GQ88" s="28"/>
      <c r="GR88" s="28"/>
      <c r="GS88" s="28"/>
      <c r="GT88" s="28"/>
      <c r="GU88" s="28"/>
      <c r="GV88" s="28"/>
      <c r="GW88" s="28"/>
      <c r="GX88" s="28"/>
      <c r="GY88" s="28"/>
      <c r="GZ88" s="28"/>
      <c r="HA88" s="28"/>
      <c r="HB88" s="28"/>
      <c r="HC88" s="28"/>
    </row>
    <row r="89" spans="1:211" s="56" customFormat="1" x14ac:dyDescent="0.25">
      <c r="A89" s="31" t="s">
        <v>92</v>
      </c>
      <c r="B89" s="57">
        <v>45148</v>
      </c>
      <c r="C89" s="58">
        <v>57</v>
      </c>
      <c r="D89" s="70">
        <v>6100.25</v>
      </c>
      <c r="E89" s="70">
        <v>3607.06</v>
      </c>
      <c r="F89" s="70">
        <v>27689.49</v>
      </c>
      <c r="G89" s="70">
        <v>4349.6899999999996</v>
      </c>
      <c r="H89" s="70">
        <v>3182.7</v>
      </c>
      <c r="I89" s="70">
        <v>2758.34</v>
      </c>
      <c r="J89" s="70">
        <v>0</v>
      </c>
      <c r="K89" s="70">
        <v>2813.89</v>
      </c>
      <c r="L89" s="70">
        <v>6.45</v>
      </c>
      <c r="M89" s="70">
        <v>0</v>
      </c>
      <c r="N89" s="70">
        <v>4349.6899999999996</v>
      </c>
      <c r="O89" s="70">
        <v>8105.66</v>
      </c>
      <c r="P89" s="70">
        <v>285</v>
      </c>
      <c r="Q89" s="70">
        <v>8908.25</v>
      </c>
      <c r="R89" s="70">
        <v>6490.54</v>
      </c>
      <c r="S89" s="70">
        <v>7231.54</v>
      </c>
      <c r="T89" s="71">
        <f t="shared" si="5"/>
        <v>85878.549999999988</v>
      </c>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28"/>
      <c r="BT89" s="28"/>
      <c r="BU89" s="28"/>
      <c r="BV89" s="28"/>
      <c r="BW89" s="28"/>
      <c r="BX89" s="28"/>
      <c r="BY89" s="28"/>
      <c r="BZ89" s="28"/>
      <c r="CA89" s="28"/>
      <c r="CB89" s="28"/>
      <c r="CC89" s="28"/>
      <c r="CD89" s="28"/>
      <c r="CE89" s="28"/>
      <c r="CF89" s="28"/>
      <c r="CG89" s="28"/>
      <c r="CH89" s="28"/>
      <c r="CI89" s="28"/>
      <c r="CJ89" s="28"/>
      <c r="CK89" s="28"/>
      <c r="CL89" s="28"/>
      <c r="CM89" s="28"/>
      <c r="CN89" s="28"/>
      <c r="CO89" s="28"/>
      <c r="CP89" s="28"/>
      <c r="CQ89" s="28"/>
      <c r="CR89" s="28"/>
      <c r="CS89" s="28"/>
      <c r="CT89" s="28"/>
      <c r="CU89" s="28"/>
      <c r="CV89" s="28"/>
      <c r="CW89" s="28"/>
      <c r="CX89" s="28"/>
      <c r="CY89" s="28"/>
      <c r="CZ89" s="28"/>
      <c r="DA89" s="28"/>
      <c r="DB89" s="28"/>
      <c r="DC89" s="28"/>
      <c r="DD89" s="28"/>
      <c r="DE89" s="28"/>
      <c r="DF89" s="28"/>
      <c r="DG89" s="28"/>
      <c r="DH89" s="28"/>
      <c r="DI89" s="28"/>
      <c r="DJ89" s="28"/>
      <c r="DK89" s="28"/>
      <c r="DL89" s="28"/>
      <c r="DM89" s="28"/>
      <c r="DN89" s="28"/>
      <c r="DO89" s="28"/>
      <c r="DP89" s="28"/>
      <c r="DQ89" s="28"/>
      <c r="DR89" s="28"/>
      <c r="DS89" s="28"/>
      <c r="DT89" s="28"/>
      <c r="DU89" s="28"/>
      <c r="DV89" s="28"/>
      <c r="DW89" s="28"/>
      <c r="DX89" s="28"/>
      <c r="DY89" s="28"/>
      <c r="DZ89" s="28"/>
      <c r="EA89" s="28"/>
      <c r="EB89" s="28"/>
      <c r="EC89" s="28"/>
      <c r="ED89" s="28"/>
      <c r="EE89" s="28"/>
      <c r="EF89" s="28"/>
      <c r="EG89" s="28"/>
      <c r="EH89" s="28"/>
      <c r="EI89" s="28"/>
      <c r="EJ89" s="28"/>
      <c r="EK89" s="28"/>
      <c r="EL89" s="28"/>
      <c r="EM89" s="28"/>
      <c r="EN89" s="28"/>
      <c r="EO89" s="28"/>
      <c r="EP89" s="28"/>
      <c r="EQ89" s="28"/>
      <c r="ER89" s="28"/>
      <c r="ES89" s="28"/>
      <c r="ET89" s="28"/>
      <c r="EU89" s="28"/>
      <c r="EV89" s="28"/>
      <c r="EW89" s="28"/>
      <c r="EX89" s="28"/>
      <c r="EY89" s="28"/>
      <c r="EZ89" s="28"/>
      <c r="FA89" s="28"/>
      <c r="FB89" s="28"/>
      <c r="FC89" s="28"/>
      <c r="FD89" s="28"/>
      <c r="FE89" s="28"/>
      <c r="FF89" s="28"/>
      <c r="FG89" s="28"/>
      <c r="FH89" s="28"/>
      <c r="FI89" s="28"/>
      <c r="FJ89" s="28"/>
      <c r="FK89" s="28"/>
      <c r="FL89" s="28"/>
      <c r="FM89" s="28"/>
      <c r="FN89" s="28"/>
      <c r="FO89" s="28"/>
      <c r="FP89" s="28"/>
      <c r="FQ89" s="28"/>
      <c r="FR89" s="28"/>
      <c r="FS89" s="28"/>
      <c r="FT89" s="28"/>
      <c r="FU89" s="28"/>
      <c r="FV89" s="28"/>
      <c r="FW89" s="28"/>
      <c r="FX89" s="28"/>
      <c r="FY89" s="28"/>
      <c r="FZ89" s="28"/>
      <c r="GA89" s="28"/>
      <c r="GB89" s="28"/>
      <c r="GC89" s="28"/>
      <c r="GD89" s="28"/>
      <c r="GE89" s="28"/>
      <c r="GF89" s="28"/>
      <c r="GG89" s="28"/>
      <c r="GH89" s="28"/>
      <c r="GI89" s="28"/>
      <c r="GJ89" s="28"/>
      <c r="GK89" s="28"/>
      <c r="GL89" s="28"/>
      <c r="GM89" s="28"/>
      <c r="GN89" s="28"/>
      <c r="GO89" s="28"/>
      <c r="GP89" s="28"/>
      <c r="GQ89" s="28"/>
      <c r="GR89" s="28"/>
      <c r="GS89" s="28"/>
      <c r="GT89" s="28"/>
      <c r="GU89" s="28"/>
      <c r="GV89" s="28"/>
      <c r="GW89" s="28"/>
      <c r="GX89" s="28"/>
      <c r="GY89" s="28"/>
      <c r="GZ89" s="28"/>
      <c r="HA89" s="28"/>
      <c r="HB89" s="28"/>
      <c r="HC89" s="28"/>
    </row>
    <row r="90" spans="1:211" s="56" customFormat="1" x14ac:dyDescent="0.25">
      <c r="A90" s="31" t="s">
        <v>93</v>
      </c>
      <c r="B90" s="57">
        <v>45148</v>
      </c>
      <c r="C90" s="58">
        <v>41</v>
      </c>
      <c r="D90" s="70">
        <v>1755.21</v>
      </c>
      <c r="E90" s="70">
        <v>915.77</v>
      </c>
      <c r="F90" s="70">
        <v>9279.75</v>
      </c>
      <c r="G90" s="70">
        <v>1671.25</v>
      </c>
      <c r="H90" s="70">
        <v>1221.02</v>
      </c>
      <c r="I90" s="70">
        <v>1724.7</v>
      </c>
      <c r="J90" s="70">
        <v>0</v>
      </c>
      <c r="K90" s="70">
        <v>26.2</v>
      </c>
      <c r="L90" s="70">
        <v>0</v>
      </c>
      <c r="M90" s="70">
        <v>289.98</v>
      </c>
      <c r="N90" s="70">
        <v>1526.28</v>
      </c>
      <c r="O90" s="70">
        <v>2199.1799999999998</v>
      </c>
      <c r="P90" s="70">
        <v>80</v>
      </c>
      <c r="Q90" s="70">
        <v>0</v>
      </c>
      <c r="R90" s="70">
        <v>3296.59</v>
      </c>
      <c r="S90" s="70">
        <v>2248.27</v>
      </c>
      <c r="T90" s="71">
        <f t="shared" si="5"/>
        <v>26234.2</v>
      </c>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c r="CD90" s="28"/>
      <c r="CE90" s="28"/>
      <c r="CF90" s="28"/>
      <c r="CG90" s="28"/>
      <c r="CH90" s="28"/>
      <c r="CI90" s="28"/>
      <c r="CJ90" s="28"/>
      <c r="CK90" s="28"/>
      <c r="CL90" s="28"/>
      <c r="CM90" s="28"/>
      <c r="CN90" s="28"/>
      <c r="CO90" s="28"/>
      <c r="CP90" s="28"/>
      <c r="CQ90" s="28"/>
      <c r="CR90" s="28"/>
      <c r="CS90" s="28"/>
      <c r="CT90" s="28"/>
      <c r="CU90" s="28"/>
      <c r="CV90" s="28"/>
      <c r="CW90" s="28"/>
      <c r="CX90" s="28"/>
      <c r="CY90" s="28"/>
      <c r="CZ90" s="28"/>
      <c r="DA90" s="28"/>
      <c r="DB90" s="28"/>
      <c r="DC90" s="28"/>
      <c r="DD90" s="28"/>
      <c r="DE90" s="28"/>
      <c r="DF90" s="28"/>
      <c r="DG90" s="28"/>
      <c r="DH90" s="28"/>
      <c r="DI90" s="28"/>
      <c r="DJ90" s="28"/>
      <c r="DK90" s="28"/>
      <c r="DL90" s="28"/>
      <c r="DM90" s="28"/>
      <c r="DN90" s="28"/>
      <c r="DO90" s="28"/>
      <c r="DP90" s="28"/>
      <c r="DQ90" s="28"/>
      <c r="DR90" s="28"/>
      <c r="DS90" s="28"/>
      <c r="DT90" s="28"/>
      <c r="DU90" s="28"/>
      <c r="DV90" s="28"/>
      <c r="DW90" s="28"/>
      <c r="DX90" s="28"/>
      <c r="DY90" s="28"/>
      <c r="DZ90" s="28"/>
      <c r="EA90" s="28"/>
      <c r="EB90" s="28"/>
      <c r="EC90" s="28"/>
      <c r="ED90" s="28"/>
      <c r="EE90" s="28"/>
      <c r="EF90" s="28"/>
      <c r="EG90" s="28"/>
      <c r="EH90" s="28"/>
      <c r="EI90" s="28"/>
      <c r="EJ90" s="28"/>
      <c r="EK90" s="28"/>
      <c r="EL90" s="28"/>
      <c r="EM90" s="28"/>
      <c r="EN90" s="28"/>
      <c r="EO90" s="28"/>
      <c r="EP90" s="28"/>
      <c r="EQ90" s="28"/>
      <c r="ER90" s="28"/>
      <c r="ES90" s="28"/>
      <c r="ET90" s="28"/>
      <c r="EU90" s="28"/>
      <c r="EV90" s="28"/>
      <c r="EW90" s="28"/>
      <c r="EX90" s="28"/>
      <c r="EY90" s="28"/>
      <c r="EZ90" s="28"/>
      <c r="FA90" s="28"/>
      <c r="FB90" s="28"/>
      <c r="FC90" s="28"/>
      <c r="FD90" s="28"/>
      <c r="FE90" s="28"/>
      <c r="FF90" s="28"/>
      <c r="FG90" s="28"/>
      <c r="FH90" s="28"/>
      <c r="FI90" s="28"/>
      <c r="FJ90" s="28"/>
      <c r="FK90" s="28"/>
      <c r="FL90" s="28"/>
      <c r="FM90" s="28"/>
      <c r="FN90" s="28"/>
      <c r="FO90" s="28"/>
      <c r="FP90" s="28"/>
      <c r="FQ90" s="28"/>
      <c r="FR90" s="28"/>
      <c r="FS90" s="28"/>
      <c r="FT90" s="28"/>
      <c r="FU90" s="28"/>
      <c r="FV90" s="28"/>
      <c r="FW90" s="28"/>
      <c r="FX90" s="28"/>
      <c r="FY90" s="28"/>
      <c r="FZ90" s="28"/>
      <c r="GA90" s="28"/>
      <c r="GB90" s="28"/>
      <c r="GC90" s="28"/>
      <c r="GD90" s="28"/>
      <c r="GE90" s="28"/>
      <c r="GF90" s="28"/>
      <c r="GG90" s="28"/>
      <c r="GH90" s="28"/>
      <c r="GI90" s="28"/>
      <c r="GJ90" s="28"/>
      <c r="GK90" s="28"/>
      <c r="GL90" s="28"/>
      <c r="GM90" s="28"/>
      <c r="GN90" s="28"/>
      <c r="GO90" s="28"/>
      <c r="GP90" s="28"/>
      <c r="GQ90" s="28"/>
      <c r="GR90" s="28"/>
      <c r="GS90" s="28"/>
      <c r="GT90" s="28"/>
      <c r="GU90" s="28"/>
      <c r="GV90" s="28"/>
      <c r="GW90" s="28"/>
      <c r="GX90" s="28"/>
      <c r="GY90" s="28"/>
      <c r="GZ90" s="28"/>
      <c r="HA90" s="28"/>
      <c r="HB90" s="28"/>
      <c r="HC90" s="28"/>
    </row>
    <row r="91" spans="1:211" x14ac:dyDescent="0.25">
      <c r="A91" s="77" t="s">
        <v>94</v>
      </c>
      <c r="B91" s="57">
        <v>45168</v>
      </c>
      <c r="C91" s="58">
        <v>151</v>
      </c>
      <c r="D91" s="70">
        <v>15671.17</v>
      </c>
      <c r="E91" s="70">
        <v>15927.03</v>
      </c>
      <c r="F91" s="70">
        <v>72990.720000000001</v>
      </c>
      <c r="G91" s="70">
        <v>15654.44</v>
      </c>
      <c r="H91" s="70">
        <v>5440.33</v>
      </c>
      <c r="I91" s="70">
        <v>2994.68</v>
      </c>
      <c r="J91" s="70">
        <v>248.75</v>
      </c>
      <c r="K91" s="70">
        <v>3725.43</v>
      </c>
      <c r="L91" s="70">
        <v>1361.33</v>
      </c>
      <c r="M91" s="70">
        <v>707.77</v>
      </c>
      <c r="N91" s="70">
        <v>1361.33</v>
      </c>
      <c r="O91" s="70">
        <v>20094.240000000002</v>
      </c>
      <c r="P91" s="70">
        <v>414</v>
      </c>
      <c r="Q91" s="70">
        <v>22411.61</v>
      </c>
      <c r="R91" s="70">
        <v>31838.22</v>
      </c>
      <c r="S91" s="70">
        <v>17860.349999999999</v>
      </c>
      <c r="T91" s="71">
        <f t="shared" si="5"/>
        <v>228701.39999999997</v>
      </c>
    </row>
    <row r="92" spans="1:211" s="56" customFormat="1" x14ac:dyDescent="0.25">
      <c r="A92" s="31" t="s">
        <v>95</v>
      </c>
      <c r="B92" s="57">
        <v>45127</v>
      </c>
      <c r="C92" s="58">
        <v>61</v>
      </c>
      <c r="D92" s="70">
        <v>7727.52</v>
      </c>
      <c r="E92" s="70">
        <v>9205.7800000000007</v>
      </c>
      <c r="F92" s="70">
        <v>23537.34</v>
      </c>
      <c r="G92" s="70">
        <v>4367.7700000000004</v>
      </c>
      <c r="H92" s="70">
        <v>0</v>
      </c>
      <c r="I92" s="70">
        <v>671.96</v>
      </c>
      <c r="J92" s="70"/>
      <c r="K92" s="70">
        <v>2648.49</v>
      </c>
      <c r="L92" s="70">
        <v>0</v>
      </c>
      <c r="M92" s="70">
        <v>349.43</v>
      </c>
      <c r="N92" s="70">
        <v>0</v>
      </c>
      <c r="O92" s="70">
        <v>6069.3</v>
      </c>
      <c r="P92" s="70">
        <v>1037</v>
      </c>
      <c r="Q92" s="70">
        <v>48508.3</v>
      </c>
      <c r="R92" s="70">
        <v>48508.3</v>
      </c>
      <c r="S92" s="70">
        <v>10494.67</v>
      </c>
      <c r="T92" s="71">
        <f t="shared" si="5"/>
        <v>163125.86000000002</v>
      </c>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28"/>
      <c r="DY92" s="28"/>
      <c r="DZ92" s="28"/>
      <c r="EA92" s="28"/>
      <c r="EB92" s="28"/>
      <c r="EC92" s="28"/>
      <c r="ED92" s="28"/>
      <c r="EE92" s="28"/>
      <c r="EF92" s="28"/>
      <c r="EG92" s="28"/>
      <c r="EH92" s="28"/>
      <c r="EI92" s="28"/>
      <c r="EJ92" s="28"/>
      <c r="EK92" s="28"/>
      <c r="EL92" s="28"/>
      <c r="EM92" s="28"/>
      <c r="EN92" s="28"/>
      <c r="EO92" s="28"/>
      <c r="EP92" s="28"/>
      <c r="EQ92" s="28"/>
      <c r="ER92" s="28"/>
      <c r="ES92" s="28"/>
      <c r="ET92" s="28"/>
      <c r="EU92" s="28"/>
      <c r="EV92" s="28"/>
      <c r="EW92" s="28"/>
      <c r="EX92" s="28"/>
      <c r="EY92" s="28"/>
      <c r="EZ92" s="28"/>
      <c r="FA92" s="28"/>
      <c r="FB92" s="28"/>
      <c r="FC92" s="28"/>
      <c r="FD92" s="28"/>
      <c r="FE92" s="28"/>
      <c r="FF92" s="28"/>
      <c r="FG92" s="28"/>
      <c r="FH92" s="28"/>
      <c r="FI92" s="28"/>
      <c r="FJ92" s="28"/>
      <c r="FK92" s="28"/>
      <c r="FL92" s="28"/>
      <c r="FM92" s="28"/>
      <c r="FN92" s="28"/>
      <c r="FO92" s="28"/>
      <c r="FP92" s="28"/>
      <c r="FQ92" s="28"/>
      <c r="FR92" s="28"/>
      <c r="FS92" s="28"/>
      <c r="FT92" s="28"/>
      <c r="FU92" s="28"/>
      <c r="FV92" s="28"/>
      <c r="FW92" s="28"/>
      <c r="FX92" s="28"/>
      <c r="FY92" s="28"/>
      <c r="FZ92" s="28"/>
      <c r="GA92" s="28"/>
      <c r="GB92" s="28"/>
      <c r="GC92" s="28"/>
      <c r="GD92" s="28"/>
      <c r="GE92" s="28"/>
      <c r="GF92" s="28"/>
      <c r="GG92" s="28"/>
      <c r="GH92" s="28"/>
      <c r="GI92" s="28"/>
      <c r="GJ92" s="28"/>
      <c r="GK92" s="28"/>
      <c r="GL92" s="28"/>
      <c r="GM92" s="28"/>
      <c r="GN92" s="28"/>
      <c r="GO92" s="28"/>
      <c r="GP92" s="28"/>
      <c r="GQ92" s="28"/>
      <c r="GR92" s="28"/>
      <c r="GS92" s="28"/>
      <c r="GT92" s="28"/>
      <c r="GU92" s="28"/>
      <c r="GV92" s="28"/>
      <c r="GW92" s="28"/>
      <c r="GX92" s="28"/>
      <c r="GY92" s="28"/>
      <c r="GZ92" s="28"/>
      <c r="HA92" s="28"/>
      <c r="HB92" s="28"/>
      <c r="HC92" s="28"/>
    </row>
    <row r="93" spans="1:211" s="56" customFormat="1" x14ac:dyDescent="0.25">
      <c r="A93" s="31" t="s">
        <v>96</v>
      </c>
      <c r="B93" s="57">
        <v>45121</v>
      </c>
      <c r="C93" s="58">
        <v>15</v>
      </c>
      <c r="D93" s="70">
        <v>831.67</v>
      </c>
      <c r="E93" s="70">
        <v>1063.0999999999999</v>
      </c>
      <c r="F93" s="70">
        <v>2994.05</v>
      </c>
      <c r="G93" s="70">
        <v>694.27</v>
      </c>
      <c r="H93" s="70">
        <v>361.6</v>
      </c>
      <c r="I93" s="70">
        <v>294.33</v>
      </c>
      <c r="J93" s="70">
        <v>0</v>
      </c>
      <c r="K93" s="70">
        <v>265.92</v>
      </c>
      <c r="L93" s="70">
        <v>0</v>
      </c>
      <c r="M93" s="70">
        <v>108.47</v>
      </c>
      <c r="N93" s="70">
        <v>0</v>
      </c>
      <c r="O93" s="70">
        <v>1018.9</v>
      </c>
      <c r="P93" s="70">
        <v>165</v>
      </c>
      <c r="Q93" s="70">
        <v>993.06</v>
      </c>
      <c r="R93" s="70">
        <v>1521.9</v>
      </c>
      <c r="S93" s="70">
        <v>985.65</v>
      </c>
      <c r="T93" s="71">
        <f t="shared" si="5"/>
        <v>11297.92</v>
      </c>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I93" s="28"/>
      <c r="CJ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P93" s="28"/>
      <c r="DQ93" s="28"/>
      <c r="DR93" s="28"/>
      <c r="DS93" s="28"/>
      <c r="DT93" s="28"/>
      <c r="DU93" s="28"/>
      <c r="DV93" s="28"/>
      <c r="DW93" s="28"/>
      <c r="DX93" s="28"/>
      <c r="DY93" s="28"/>
      <c r="DZ93" s="28"/>
      <c r="EA93" s="28"/>
      <c r="EB93" s="28"/>
      <c r="EC93" s="28"/>
      <c r="ED93" s="28"/>
      <c r="EE93" s="28"/>
      <c r="EF93" s="28"/>
      <c r="EG93" s="28"/>
      <c r="EH93" s="28"/>
      <c r="EI93" s="28"/>
      <c r="EJ93" s="28"/>
      <c r="EK93" s="28"/>
      <c r="EL93" s="28"/>
      <c r="EM93" s="28"/>
      <c r="EN93" s="28"/>
      <c r="EO93" s="28"/>
      <c r="EP93" s="28"/>
      <c r="EQ93" s="28"/>
      <c r="ER93" s="28"/>
      <c r="ES93" s="28"/>
      <c r="ET93" s="28"/>
      <c r="EU93" s="28"/>
      <c r="EV93" s="28"/>
      <c r="EW93" s="28"/>
      <c r="EX93" s="28"/>
      <c r="EY93" s="28"/>
      <c r="EZ93" s="28"/>
      <c r="FA93" s="28"/>
      <c r="FB93" s="28"/>
      <c r="FC93" s="28"/>
      <c r="FD93" s="28"/>
      <c r="FE93" s="28"/>
      <c r="FF93" s="28"/>
      <c r="FG93" s="28"/>
      <c r="FH93" s="28"/>
      <c r="FI93" s="28"/>
      <c r="FJ93" s="28"/>
      <c r="FK93" s="28"/>
      <c r="FL93" s="28"/>
      <c r="FM93" s="28"/>
      <c r="FN93" s="28"/>
      <c r="FO93" s="28"/>
      <c r="FP93" s="28"/>
      <c r="FQ93" s="28"/>
      <c r="FR93" s="28"/>
      <c r="FS93" s="28"/>
      <c r="FT93" s="28"/>
      <c r="FU93" s="28"/>
      <c r="FV93" s="28"/>
      <c r="FW93" s="28"/>
      <c r="FX93" s="28"/>
      <c r="FY93" s="28"/>
      <c r="FZ93" s="28"/>
      <c r="GA93" s="28"/>
      <c r="GB93" s="28"/>
      <c r="GC93" s="28"/>
      <c r="GD93" s="28"/>
      <c r="GE93" s="28"/>
      <c r="GF93" s="28"/>
      <c r="GG93" s="28"/>
      <c r="GH93" s="28"/>
      <c r="GI93" s="28"/>
      <c r="GJ93" s="28"/>
      <c r="GK93" s="28"/>
      <c r="GL93" s="28"/>
      <c r="GM93" s="28"/>
      <c r="GN93" s="28"/>
      <c r="GO93" s="28"/>
      <c r="GP93" s="28"/>
      <c r="GQ93" s="28"/>
      <c r="GR93" s="28"/>
      <c r="GS93" s="28"/>
      <c r="GT93" s="28"/>
      <c r="GU93" s="28"/>
      <c r="GV93" s="28"/>
      <c r="GW93" s="28"/>
      <c r="GX93" s="28"/>
      <c r="GY93" s="28"/>
      <c r="GZ93" s="28"/>
      <c r="HA93" s="28"/>
      <c r="HB93" s="28"/>
      <c r="HC93" s="28"/>
    </row>
    <row r="94" spans="1:211" s="56" customFormat="1" x14ac:dyDescent="0.25">
      <c r="A94" s="31" t="s">
        <v>97</v>
      </c>
      <c r="B94" s="57">
        <v>45225</v>
      </c>
      <c r="C94" s="58">
        <v>53</v>
      </c>
      <c r="D94" s="70">
        <v>2240.85</v>
      </c>
      <c r="E94" s="70">
        <v>1480.88</v>
      </c>
      <c r="F94" s="70">
        <v>10853.41</v>
      </c>
      <c r="G94" s="70">
        <v>1870.6</v>
      </c>
      <c r="H94" s="70">
        <v>876.84</v>
      </c>
      <c r="I94" s="70">
        <v>1052.23</v>
      </c>
      <c r="J94" s="70">
        <v>4.2</v>
      </c>
      <c r="K94" s="70">
        <v>0</v>
      </c>
      <c r="L94" s="70">
        <v>14.36</v>
      </c>
      <c r="M94" s="70">
        <v>175.37</v>
      </c>
      <c r="N94" s="70">
        <v>0</v>
      </c>
      <c r="O94" s="70">
        <v>2671.9</v>
      </c>
      <c r="P94" s="70">
        <v>0</v>
      </c>
      <c r="Q94" s="70">
        <v>3473.72</v>
      </c>
      <c r="R94" s="70">
        <v>4412.46</v>
      </c>
      <c r="S94" s="70">
        <v>2734.25</v>
      </c>
      <c r="T94" s="71">
        <f t="shared" si="5"/>
        <v>31861.07</v>
      </c>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8"/>
      <c r="BR94" s="28"/>
      <c r="BS94" s="28"/>
      <c r="BT94" s="28"/>
      <c r="BU94" s="28"/>
      <c r="BV94" s="28"/>
      <c r="BW94" s="28"/>
      <c r="BX94" s="28"/>
      <c r="BY94" s="28"/>
      <c r="BZ94" s="28"/>
      <c r="CA94" s="28"/>
      <c r="CB94" s="28"/>
      <c r="CC94" s="28"/>
      <c r="CD94" s="28"/>
      <c r="CE94" s="28"/>
      <c r="CF94" s="28"/>
      <c r="CG94" s="28"/>
      <c r="CH94" s="28"/>
      <c r="CI94" s="28"/>
      <c r="CJ94" s="28"/>
      <c r="CK94" s="28"/>
      <c r="CL94" s="28"/>
      <c r="CM94" s="28"/>
      <c r="CN94" s="28"/>
      <c r="CO94" s="28"/>
      <c r="CP94" s="28"/>
      <c r="CQ94" s="28"/>
      <c r="CR94" s="28"/>
      <c r="CS94" s="28"/>
      <c r="CT94" s="28"/>
      <c r="CU94" s="28"/>
      <c r="CV94" s="28"/>
      <c r="CW94" s="28"/>
      <c r="CX94" s="28"/>
      <c r="CY94" s="28"/>
      <c r="CZ94" s="28"/>
      <c r="DA94" s="28"/>
      <c r="DB94" s="28"/>
      <c r="DC94" s="28"/>
      <c r="DD94" s="28"/>
      <c r="DE94" s="28"/>
      <c r="DF94" s="28"/>
      <c r="DG94" s="28"/>
      <c r="DH94" s="28"/>
      <c r="DI94" s="28"/>
      <c r="DJ94" s="28"/>
      <c r="DK94" s="28"/>
      <c r="DL94" s="28"/>
      <c r="DM94" s="28"/>
      <c r="DN94" s="28"/>
      <c r="DO94" s="28"/>
      <c r="DP94" s="28"/>
      <c r="DQ94" s="28"/>
      <c r="DR94" s="28"/>
      <c r="DS94" s="28"/>
      <c r="DT94" s="28"/>
      <c r="DU94" s="28"/>
      <c r="DV94" s="28"/>
      <c r="DW94" s="28"/>
      <c r="DX94" s="28"/>
      <c r="DY94" s="28"/>
      <c r="DZ94" s="28"/>
      <c r="EA94" s="28"/>
      <c r="EB94" s="28"/>
      <c r="EC94" s="28"/>
      <c r="ED94" s="28"/>
      <c r="EE94" s="28"/>
      <c r="EF94" s="28"/>
      <c r="EG94" s="28"/>
      <c r="EH94" s="28"/>
      <c r="EI94" s="28"/>
      <c r="EJ94" s="28"/>
      <c r="EK94" s="28"/>
      <c r="EL94" s="28"/>
      <c r="EM94" s="28"/>
      <c r="EN94" s="28"/>
      <c r="EO94" s="28"/>
      <c r="EP94" s="28"/>
      <c r="EQ94" s="28"/>
      <c r="ER94" s="28"/>
      <c r="ES94" s="28"/>
      <c r="ET94" s="28"/>
      <c r="EU94" s="28"/>
      <c r="EV94" s="28"/>
      <c r="EW94" s="28"/>
      <c r="EX94" s="28"/>
      <c r="EY94" s="28"/>
      <c r="EZ94" s="28"/>
      <c r="FA94" s="28"/>
      <c r="FB94" s="28"/>
      <c r="FC94" s="28"/>
      <c r="FD94" s="28"/>
      <c r="FE94" s="28"/>
      <c r="FF94" s="28"/>
      <c r="FG94" s="28"/>
      <c r="FH94" s="28"/>
      <c r="FI94" s="28"/>
      <c r="FJ94" s="28"/>
      <c r="FK94" s="28"/>
      <c r="FL94" s="28"/>
      <c r="FM94" s="28"/>
      <c r="FN94" s="28"/>
      <c r="FO94" s="28"/>
      <c r="FP94" s="28"/>
      <c r="FQ94" s="28"/>
      <c r="FR94" s="28"/>
      <c r="FS94" s="28"/>
      <c r="FT94" s="28"/>
      <c r="FU94" s="28"/>
      <c r="FV94" s="28"/>
      <c r="FW94" s="28"/>
      <c r="FX94" s="28"/>
      <c r="FY94" s="28"/>
      <c r="FZ94" s="28"/>
      <c r="GA94" s="28"/>
      <c r="GB94" s="28"/>
      <c r="GC94" s="28"/>
      <c r="GD94" s="28"/>
      <c r="GE94" s="28"/>
      <c r="GF94" s="28"/>
      <c r="GG94" s="28"/>
      <c r="GH94" s="28"/>
      <c r="GI94" s="28"/>
      <c r="GJ94" s="28"/>
      <c r="GK94" s="28"/>
      <c r="GL94" s="28"/>
      <c r="GM94" s="28"/>
      <c r="GN94" s="28"/>
      <c r="GO94" s="28"/>
      <c r="GP94" s="28"/>
      <c r="GQ94" s="28"/>
      <c r="GR94" s="28"/>
      <c r="GS94" s="28"/>
      <c r="GT94" s="28"/>
      <c r="GU94" s="28"/>
      <c r="GV94" s="28"/>
      <c r="GW94" s="28"/>
      <c r="GX94" s="28"/>
      <c r="GY94" s="28"/>
      <c r="GZ94" s="28"/>
      <c r="HA94" s="28"/>
      <c r="HB94" s="28"/>
      <c r="HC94" s="28"/>
    </row>
    <row r="95" spans="1:211" s="56" customFormat="1" x14ac:dyDescent="0.25">
      <c r="A95" s="31" t="s">
        <v>98</v>
      </c>
      <c r="B95" s="57">
        <v>45148</v>
      </c>
      <c r="C95" s="58">
        <v>61</v>
      </c>
      <c r="D95" s="70">
        <v>10583.91</v>
      </c>
      <c r="E95" s="70">
        <v>8006.96</v>
      </c>
      <c r="F95" s="70">
        <v>54115.99</v>
      </c>
      <c r="G95" s="70">
        <v>3773.39</v>
      </c>
      <c r="H95" s="70">
        <v>2300.85</v>
      </c>
      <c r="I95" s="70">
        <v>1251.6400000000001</v>
      </c>
      <c r="J95" s="70">
        <v>0</v>
      </c>
      <c r="K95" s="70">
        <v>9470.93</v>
      </c>
      <c r="L95" s="70">
        <v>20615.62</v>
      </c>
      <c r="M95" s="70">
        <v>1353.6</v>
      </c>
      <c r="N95" s="70">
        <v>4362.38</v>
      </c>
      <c r="O95" s="70">
        <v>15545.91</v>
      </c>
      <c r="P95" s="70">
        <v>915</v>
      </c>
      <c r="Q95" s="70">
        <v>18731.75</v>
      </c>
      <c r="R95" s="70">
        <v>27035.37</v>
      </c>
      <c r="S95" s="70">
        <v>14371.68</v>
      </c>
      <c r="T95" s="71">
        <f t="shared" si="5"/>
        <v>192434.98</v>
      </c>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c r="CD95" s="28"/>
      <c r="CE95" s="28"/>
      <c r="CF95" s="28"/>
      <c r="CG95" s="28"/>
      <c r="CH95" s="28"/>
      <c r="CI95" s="28"/>
      <c r="CJ95" s="28"/>
      <c r="CK95" s="28"/>
      <c r="CL95" s="28"/>
      <c r="CM95" s="28"/>
      <c r="CN95" s="28"/>
      <c r="CO95" s="28"/>
      <c r="CP95" s="28"/>
      <c r="CQ95" s="28"/>
      <c r="CR95" s="28"/>
      <c r="CS95" s="28"/>
      <c r="CT95" s="28"/>
      <c r="CU95" s="28"/>
      <c r="CV95" s="28"/>
      <c r="CW95" s="28"/>
      <c r="CX95" s="28"/>
      <c r="CY95" s="28"/>
      <c r="CZ95" s="28"/>
      <c r="DA95" s="28"/>
      <c r="DB95" s="28"/>
      <c r="DC95" s="28"/>
      <c r="DD95" s="28"/>
      <c r="DE95" s="28"/>
      <c r="DF95" s="28"/>
      <c r="DG95" s="28"/>
      <c r="DH95" s="28"/>
      <c r="DI95" s="28"/>
      <c r="DJ95" s="28"/>
      <c r="DK95" s="28"/>
      <c r="DL95" s="28"/>
      <c r="DM95" s="28"/>
      <c r="DN95" s="28"/>
      <c r="DO95" s="28"/>
      <c r="DP95" s="28"/>
      <c r="DQ95" s="28"/>
      <c r="DR95" s="28"/>
      <c r="DS95" s="28"/>
      <c r="DT95" s="28"/>
      <c r="DU95" s="28"/>
      <c r="DV95" s="28"/>
      <c r="DW95" s="28"/>
      <c r="DX95" s="28"/>
      <c r="DY95" s="28"/>
      <c r="DZ95" s="28"/>
      <c r="EA95" s="28"/>
      <c r="EB95" s="28"/>
      <c r="EC95" s="28"/>
      <c r="ED95" s="28"/>
      <c r="EE95" s="28"/>
      <c r="EF95" s="28"/>
      <c r="EG95" s="28"/>
      <c r="EH95" s="28"/>
      <c r="EI95" s="28"/>
      <c r="EJ95" s="28"/>
      <c r="EK95" s="28"/>
      <c r="EL95" s="28"/>
      <c r="EM95" s="28"/>
      <c r="EN95" s="28"/>
      <c r="EO95" s="28"/>
      <c r="EP95" s="28"/>
      <c r="EQ95" s="28"/>
      <c r="ER95" s="28"/>
      <c r="ES95" s="28"/>
      <c r="ET95" s="28"/>
      <c r="EU95" s="28"/>
      <c r="EV95" s="28"/>
      <c r="EW95" s="28"/>
      <c r="EX95" s="28"/>
      <c r="EY95" s="28"/>
      <c r="EZ95" s="28"/>
      <c r="FA95" s="28"/>
      <c r="FB95" s="28"/>
      <c r="FC95" s="28"/>
      <c r="FD95" s="28"/>
      <c r="FE95" s="28"/>
      <c r="FF95" s="28"/>
      <c r="FG95" s="28"/>
      <c r="FH95" s="28"/>
      <c r="FI95" s="28"/>
      <c r="FJ95" s="28"/>
      <c r="FK95" s="28"/>
      <c r="FL95" s="28"/>
      <c r="FM95" s="28"/>
      <c r="FN95" s="28"/>
      <c r="FO95" s="28"/>
      <c r="FP95" s="28"/>
      <c r="FQ95" s="28"/>
      <c r="FR95" s="28"/>
      <c r="FS95" s="28"/>
      <c r="FT95" s="28"/>
      <c r="FU95" s="28"/>
      <c r="FV95" s="28"/>
      <c r="FW95" s="28"/>
      <c r="FX95" s="28"/>
      <c r="FY95" s="28"/>
      <c r="FZ95" s="28"/>
      <c r="GA95" s="28"/>
      <c r="GB95" s="28"/>
      <c r="GC95" s="28"/>
      <c r="GD95" s="28"/>
      <c r="GE95" s="28"/>
      <c r="GF95" s="28"/>
      <c r="GG95" s="28"/>
      <c r="GH95" s="28"/>
      <c r="GI95" s="28"/>
      <c r="GJ95" s="28"/>
      <c r="GK95" s="28"/>
      <c r="GL95" s="28"/>
      <c r="GM95" s="28"/>
      <c r="GN95" s="28"/>
      <c r="GO95" s="28"/>
      <c r="GP95" s="28"/>
      <c r="GQ95" s="28"/>
      <c r="GR95" s="28"/>
      <c r="GS95" s="28"/>
      <c r="GT95" s="28"/>
      <c r="GU95" s="28"/>
      <c r="GV95" s="28"/>
      <c r="GW95" s="28"/>
      <c r="GX95" s="28"/>
      <c r="GY95" s="28"/>
      <c r="GZ95" s="28"/>
      <c r="HA95" s="28"/>
      <c r="HB95" s="28"/>
      <c r="HC95" s="28"/>
    </row>
    <row r="96" spans="1:211" s="56" customFormat="1" x14ac:dyDescent="0.25">
      <c r="A96" s="31" t="s">
        <v>99</v>
      </c>
      <c r="B96" s="57">
        <v>45132</v>
      </c>
      <c r="C96" s="58">
        <v>36</v>
      </c>
      <c r="D96" s="70">
        <v>3774.54</v>
      </c>
      <c r="E96" s="70">
        <v>4102.74</v>
      </c>
      <c r="F96" s="70">
        <v>22089.21</v>
      </c>
      <c r="G96" s="70">
        <v>3511.95</v>
      </c>
      <c r="H96" s="70">
        <v>1838.01</v>
      </c>
      <c r="I96" s="70">
        <v>1739.57</v>
      </c>
      <c r="J96" s="70">
        <v>0</v>
      </c>
      <c r="K96" s="70">
        <v>1085</v>
      </c>
      <c r="L96" s="70">
        <v>0</v>
      </c>
      <c r="M96" s="70">
        <v>656.44</v>
      </c>
      <c r="N96" s="70">
        <v>0</v>
      </c>
      <c r="O96" s="70">
        <v>5884.78</v>
      </c>
      <c r="P96" s="70">
        <v>540</v>
      </c>
      <c r="Q96" s="70">
        <v>5822.22</v>
      </c>
      <c r="R96" s="70">
        <v>8995.9699999999993</v>
      </c>
      <c r="S96" s="70">
        <v>5001.9799999999996</v>
      </c>
      <c r="T96" s="71">
        <f t="shared" si="5"/>
        <v>65042.41</v>
      </c>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28"/>
      <c r="CK96" s="28"/>
      <c r="CL96" s="28"/>
      <c r="CM96" s="28"/>
      <c r="CN96" s="28"/>
      <c r="CO96" s="28"/>
      <c r="CP96" s="28"/>
      <c r="CQ96" s="28"/>
      <c r="CR96" s="28"/>
      <c r="CS96" s="28"/>
      <c r="CT96" s="28"/>
      <c r="CU96" s="28"/>
      <c r="CV96" s="28"/>
      <c r="CW96" s="28"/>
      <c r="CX96" s="28"/>
      <c r="CY96" s="28"/>
      <c r="CZ96" s="28"/>
      <c r="DA96" s="28"/>
      <c r="DB96" s="28"/>
      <c r="DC96" s="28"/>
      <c r="DD96" s="28"/>
      <c r="DE96" s="28"/>
      <c r="DF96" s="28"/>
      <c r="DG96" s="28"/>
      <c r="DH96" s="28"/>
      <c r="DI96" s="28"/>
      <c r="DJ96" s="28"/>
      <c r="DK96" s="28"/>
      <c r="DL96" s="28"/>
      <c r="DM96" s="28"/>
      <c r="DN96" s="28"/>
      <c r="DO96" s="28"/>
      <c r="DP96" s="28"/>
      <c r="DQ96" s="28"/>
      <c r="DR96" s="28"/>
      <c r="DS96" s="28"/>
      <c r="DT96" s="28"/>
      <c r="DU96" s="28"/>
      <c r="DV96" s="28"/>
      <c r="DW96" s="28"/>
      <c r="DX96" s="28"/>
      <c r="DY96" s="28"/>
      <c r="DZ96" s="28"/>
      <c r="EA96" s="28"/>
      <c r="EB96" s="28"/>
      <c r="EC96" s="28"/>
      <c r="ED96" s="28"/>
      <c r="EE96" s="28"/>
      <c r="EF96" s="28"/>
      <c r="EG96" s="28"/>
      <c r="EH96" s="28"/>
      <c r="EI96" s="28"/>
      <c r="EJ96" s="28"/>
      <c r="EK96" s="28"/>
      <c r="EL96" s="28"/>
      <c r="EM96" s="28"/>
      <c r="EN96" s="28"/>
      <c r="EO96" s="28"/>
      <c r="EP96" s="28"/>
      <c r="EQ96" s="28"/>
      <c r="ER96" s="28"/>
      <c r="ES96" s="28"/>
      <c r="ET96" s="28"/>
      <c r="EU96" s="28"/>
      <c r="EV96" s="28"/>
      <c r="EW96" s="28"/>
      <c r="EX96" s="28"/>
      <c r="EY96" s="28"/>
      <c r="EZ96" s="28"/>
      <c r="FA96" s="28"/>
      <c r="FB96" s="28"/>
      <c r="FC96" s="28"/>
      <c r="FD96" s="28"/>
      <c r="FE96" s="28"/>
      <c r="FF96" s="28"/>
      <c r="FG96" s="28"/>
      <c r="FH96" s="28"/>
      <c r="FI96" s="28"/>
      <c r="FJ96" s="28"/>
      <c r="FK96" s="28"/>
      <c r="FL96" s="28"/>
      <c r="FM96" s="28"/>
      <c r="FN96" s="28"/>
      <c r="FO96" s="28"/>
      <c r="FP96" s="28"/>
      <c r="FQ96" s="28"/>
      <c r="FR96" s="28"/>
      <c r="FS96" s="28"/>
      <c r="FT96" s="28"/>
      <c r="FU96" s="28"/>
      <c r="FV96" s="28"/>
      <c r="FW96" s="28"/>
      <c r="FX96" s="28"/>
      <c r="FY96" s="28"/>
      <c r="FZ96" s="28"/>
      <c r="GA96" s="28"/>
      <c r="GB96" s="28"/>
      <c r="GC96" s="28"/>
      <c r="GD96" s="28"/>
      <c r="GE96" s="28"/>
      <c r="GF96" s="28"/>
      <c r="GG96" s="28"/>
      <c r="GH96" s="28"/>
      <c r="GI96" s="28"/>
      <c r="GJ96" s="28"/>
      <c r="GK96" s="28"/>
      <c r="GL96" s="28"/>
      <c r="GM96" s="28"/>
      <c r="GN96" s="28"/>
      <c r="GO96" s="28"/>
      <c r="GP96" s="28"/>
      <c r="GQ96" s="28"/>
      <c r="GR96" s="28"/>
      <c r="GS96" s="28"/>
      <c r="GT96" s="28"/>
      <c r="GU96" s="28"/>
      <c r="GV96" s="28"/>
      <c r="GW96" s="28"/>
      <c r="GX96" s="28"/>
      <c r="GY96" s="28"/>
      <c r="GZ96" s="28"/>
      <c r="HA96" s="28"/>
      <c r="HB96" s="28"/>
      <c r="HC96" s="28"/>
    </row>
    <row r="97" spans="1:211" s="56" customFormat="1" x14ac:dyDescent="0.25">
      <c r="A97" s="31" t="s">
        <v>100</v>
      </c>
      <c r="B97" s="80">
        <v>45225</v>
      </c>
      <c r="C97" s="58">
        <v>0</v>
      </c>
      <c r="D97" s="70">
        <v>0</v>
      </c>
      <c r="E97" s="70">
        <v>0</v>
      </c>
      <c r="F97" s="70">
        <v>0</v>
      </c>
      <c r="G97" s="70">
        <v>0</v>
      </c>
      <c r="H97" s="70">
        <v>0</v>
      </c>
      <c r="I97" s="70">
        <v>0</v>
      </c>
      <c r="J97" s="70">
        <v>0</v>
      </c>
      <c r="K97" s="70">
        <v>0</v>
      </c>
      <c r="L97" s="70">
        <v>0</v>
      </c>
      <c r="M97" s="70">
        <v>0</v>
      </c>
      <c r="N97" s="70">
        <v>0</v>
      </c>
      <c r="O97" s="70">
        <v>0</v>
      </c>
      <c r="P97" s="70">
        <v>0</v>
      </c>
      <c r="Q97" s="70">
        <v>0</v>
      </c>
      <c r="R97" s="70">
        <v>0</v>
      </c>
      <c r="S97" s="70">
        <v>0</v>
      </c>
      <c r="T97" s="71">
        <f t="shared" si="5"/>
        <v>0</v>
      </c>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c r="CE97" s="28"/>
      <c r="CF97" s="28"/>
      <c r="CG97" s="28"/>
      <c r="CH97" s="28"/>
      <c r="CI97" s="28"/>
      <c r="CJ97" s="28"/>
      <c r="CK97" s="28"/>
      <c r="CL97" s="28"/>
      <c r="CM97" s="28"/>
      <c r="CN97" s="28"/>
      <c r="CO97" s="28"/>
      <c r="CP97" s="28"/>
      <c r="CQ97" s="28"/>
      <c r="CR97" s="28"/>
      <c r="CS97" s="28"/>
      <c r="CT97" s="28"/>
      <c r="CU97" s="28"/>
      <c r="CV97" s="28"/>
      <c r="CW97" s="28"/>
      <c r="CX97" s="28"/>
      <c r="CY97" s="28"/>
      <c r="CZ97" s="28"/>
      <c r="DA97" s="28"/>
      <c r="DB97" s="28"/>
      <c r="DC97" s="28"/>
      <c r="DD97" s="28"/>
      <c r="DE97" s="28"/>
      <c r="DF97" s="28"/>
      <c r="DG97" s="28"/>
      <c r="DH97" s="28"/>
      <c r="DI97" s="28"/>
      <c r="DJ97" s="28"/>
      <c r="DK97" s="28"/>
      <c r="DL97" s="28"/>
      <c r="DM97" s="28"/>
      <c r="DN97" s="28"/>
      <c r="DO97" s="28"/>
      <c r="DP97" s="28"/>
      <c r="DQ97" s="28"/>
      <c r="DR97" s="28"/>
      <c r="DS97" s="28"/>
      <c r="DT97" s="28"/>
      <c r="DU97" s="28"/>
      <c r="DV97" s="28"/>
      <c r="DW97" s="28"/>
      <c r="DX97" s="28"/>
      <c r="DY97" s="28"/>
      <c r="DZ97" s="28"/>
      <c r="EA97" s="28"/>
      <c r="EB97" s="28"/>
      <c r="EC97" s="28"/>
      <c r="ED97" s="28"/>
      <c r="EE97" s="28"/>
      <c r="EF97" s="28"/>
      <c r="EG97" s="28"/>
      <c r="EH97" s="28"/>
      <c r="EI97" s="28"/>
      <c r="EJ97" s="28"/>
      <c r="EK97" s="28"/>
      <c r="EL97" s="28"/>
      <c r="EM97" s="28"/>
      <c r="EN97" s="28"/>
      <c r="EO97" s="28"/>
      <c r="EP97" s="28"/>
      <c r="EQ97" s="28"/>
      <c r="ER97" s="28"/>
      <c r="ES97" s="28"/>
      <c r="ET97" s="28"/>
      <c r="EU97" s="28"/>
      <c r="EV97" s="28"/>
      <c r="EW97" s="28"/>
      <c r="EX97" s="28"/>
      <c r="EY97" s="28"/>
      <c r="EZ97" s="28"/>
      <c r="FA97" s="28"/>
      <c r="FB97" s="28"/>
      <c r="FC97" s="28"/>
      <c r="FD97" s="28"/>
      <c r="FE97" s="28"/>
      <c r="FF97" s="28"/>
      <c r="FG97" s="28"/>
      <c r="FH97" s="28"/>
      <c r="FI97" s="28"/>
      <c r="FJ97" s="28"/>
      <c r="FK97" s="28"/>
      <c r="FL97" s="28"/>
      <c r="FM97" s="28"/>
      <c r="FN97" s="28"/>
      <c r="FO97" s="28"/>
      <c r="FP97" s="28"/>
      <c r="FQ97" s="28"/>
      <c r="FR97" s="28"/>
      <c r="FS97" s="28"/>
      <c r="FT97" s="28"/>
      <c r="FU97" s="28"/>
      <c r="FV97" s="28"/>
      <c r="FW97" s="28"/>
      <c r="FX97" s="28"/>
      <c r="FY97" s="28"/>
      <c r="FZ97" s="28"/>
      <c r="GA97" s="28"/>
      <c r="GB97" s="28"/>
      <c r="GC97" s="28"/>
      <c r="GD97" s="28"/>
      <c r="GE97" s="28"/>
      <c r="GF97" s="28"/>
      <c r="GG97" s="28"/>
      <c r="GH97" s="28"/>
      <c r="GI97" s="28"/>
      <c r="GJ97" s="28"/>
      <c r="GK97" s="28"/>
      <c r="GL97" s="28"/>
      <c r="GM97" s="28"/>
      <c r="GN97" s="28"/>
      <c r="GO97" s="28"/>
      <c r="GP97" s="28"/>
      <c r="GQ97" s="28"/>
      <c r="GR97" s="28"/>
      <c r="GS97" s="28"/>
      <c r="GT97" s="28"/>
      <c r="GU97" s="28"/>
      <c r="GV97" s="28"/>
      <c r="GW97" s="28"/>
      <c r="GX97" s="28"/>
      <c r="GY97" s="28"/>
      <c r="GZ97" s="28"/>
      <c r="HA97" s="28"/>
      <c r="HB97" s="28"/>
      <c r="HC97" s="28"/>
    </row>
    <row r="98" spans="1:211" s="56" customFormat="1" x14ac:dyDescent="0.25">
      <c r="A98" s="31" t="s">
        <v>101</v>
      </c>
      <c r="B98" s="57">
        <v>45120</v>
      </c>
      <c r="C98" s="58">
        <v>53</v>
      </c>
      <c r="D98" s="70">
        <v>2598.62</v>
      </c>
      <c r="E98" s="70">
        <v>4048.94</v>
      </c>
      <c r="F98" s="70">
        <v>14574.9</v>
      </c>
      <c r="G98" s="70">
        <v>2598.62</v>
      </c>
      <c r="H98" s="70">
        <v>1310.6199999999999</v>
      </c>
      <c r="I98" s="70">
        <v>2350.0700000000002</v>
      </c>
      <c r="J98" s="70">
        <v>0</v>
      </c>
      <c r="K98" s="70">
        <v>255.99</v>
      </c>
      <c r="L98" s="70">
        <v>429.35</v>
      </c>
      <c r="M98" s="70">
        <v>316.35000000000002</v>
      </c>
      <c r="N98" s="70">
        <v>2131.69</v>
      </c>
      <c r="O98" s="70">
        <v>3877.3</v>
      </c>
      <c r="P98" s="70">
        <v>106</v>
      </c>
      <c r="Q98" s="70">
        <v>0</v>
      </c>
      <c r="R98" s="70">
        <v>5963.98</v>
      </c>
      <c r="S98" s="70">
        <v>3512.02</v>
      </c>
      <c r="T98" s="71">
        <f t="shared" si="5"/>
        <v>44074.44999999999</v>
      </c>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28"/>
      <c r="CN98" s="28"/>
      <c r="CO98" s="28"/>
      <c r="CP98" s="28"/>
      <c r="CQ98" s="28"/>
      <c r="CR98" s="28"/>
      <c r="CS98" s="28"/>
      <c r="CT98" s="28"/>
      <c r="CU98" s="28"/>
      <c r="CV98" s="28"/>
      <c r="CW98" s="28"/>
      <c r="CX98" s="28"/>
      <c r="CY98" s="28"/>
      <c r="CZ98" s="28"/>
      <c r="DA98" s="28"/>
      <c r="DB98" s="28"/>
      <c r="DC98" s="28"/>
      <c r="DD98" s="28"/>
      <c r="DE98" s="28"/>
      <c r="DF98" s="28"/>
      <c r="DG98" s="28"/>
      <c r="DH98" s="28"/>
      <c r="DI98" s="28"/>
      <c r="DJ98" s="28"/>
      <c r="DK98" s="28"/>
      <c r="DL98" s="28"/>
      <c r="DM98" s="28"/>
      <c r="DN98" s="28"/>
      <c r="DO98" s="28"/>
      <c r="DP98" s="28"/>
      <c r="DQ98" s="28"/>
      <c r="DR98" s="28"/>
      <c r="DS98" s="28"/>
      <c r="DT98" s="28"/>
      <c r="DU98" s="28"/>
      <c r="DV98" s="28"/>
      <c r="DW98" s="28"/>
      <c r="DX98" s="28"/>
      <c r="DY98" s="28"/>
      <c r="DZ98" s="28"/>
      <c r="EA98" s="28"/>
      <c r="EB98" s="28"/>
      <c r="EC98" s="28"/>
      <c r="ED98" s="28"/>
      <c r="EE98" s="28"/>
      <c r="EF98" s="28"/>
      <c r="EG98" s="28"/>
      <c r="EH98" s="28"/>
      <c r="EI98" s="28"/>
      <c r="EJ98" s="28"/>
      <c r="EK98" s="28"/>
      <c r="EL98" s="28"/>
      <c r="EM98" s="28"/>
      <c r="EN98" s="28"/>
      <c r="EO98" s="28"/>
      <c r="EP98" s="28"/>
      <c r="EQ98" s="28"/>
      <c r="ER98" s="28"/>
      <c r="ES98" s="28"/>
      <c r="ET98" s="28"/>
      <c r="EU98" s="28"/>
      <c r="EV98" s="28"/>
      <c r="EW98" s="28"/>
      <c r="EX98" s="28"/>
      <c r="EY98" s="28"/>
      <c r="EZ98" s="28"/>
      <c r="FA98" s="28"/>
      <c r="FB98" s="28"/>
      <c r="FC98" s="28"/>
      <c r="FD98" s="28"/>
      <c r="FE98" s="28"/>
      <c r="FF98" s="28"/>
      <c r="FG98" s="28"/>
      <c r="FH98" s="28"/>
      <c r="FI98" s="28"/>
      <c r="FJ98" s="28"/>
      <c r="FK98" s="28"/>
      <c r="FL98" s="28"/>
      <c r="FM98" s="28"/>
      <c r="FN98" s="28"/>
      <c r="FO98" s="28"/>
      <c r="FP98" s="28"/>
      <c r="FQ98" s="28"/>
      <c r="FR98" s="28"/>
      <c r="FS98" s="28"/>
      <c r="FT98" s="28"/>
      <c r="FU98" s="28"/>
      <c r="FV98" s="28"/>
      <c r="FW98" s="28"/>
      <c r="FX98" s="28"/>
      <c r="FY98" s="28"/>
      <c r="FZ98" s="28"/>
      <c r="GA98" s="28"/>
      <c r="GB98" s="28"/>
      <c r="GC98" s="28"/>
      <c r="GD98" s="28"/>
      <c r="GE98" s="28"/>
      <c r="GF98" s="28"/>
      <c r="GG98" s="28"/>
      <c r="GH98" s="28"/>
      <c r="GI98" s="28"/>
      <c r="GJ98" s="28"/>
      <c r="GK98" s="28"/>
      <c r="GL98" s="28"/>
      <c r="GM98" s="28"/>
      <c r="GN98" s="28"/>
      <c r="GO98" s="28"/>
      <c r="GP98" s="28"/>
      <c r="GQ98" s="28"/>
      <c r="GR98" s="28"/>
      <c r="GS98" s="28"/>
      <c r="GT98" s="28"/>
      <c r="GU98" s="28"/>
      <c r="GV98" s="28"/>
      <c r="GW98" s="28"/>
      <c r="GX98" s="28"/>
      <c r="GY98" s="28"/>
      <c r="GZ98" s="28"/>
      <c r="HA98" s="28"/>
      <c r="HB98" s="28"/>
      <c r="HC98" s="28"/>
    </row>
    <row r="99" spans="1:211" s="56" customFormat="1" ht="15.75" customHeight="1" x14ac:dyDescent="0.25">
      <c r="A99" s="31" t="s">
        <v>143</v>
      </c>
      <c r="B99" s="57">
        <v>45189</v>
      </c>
      <c r="C99" s="58">
        <v>110</v>
      </c>
      <c r="D99" s="70">
        <v>7997.92</v>
      </c>
      <c r="E99" s="70">
        <v>7357.13</v>
      </c>
      <c r="F99" s="70">
        <v>39595.39</v>
      </c>
      <c r="G99" s="70">
        <v>11181.42</v>
      </c>
      <c r="H99" s="70">
        <v>4152.74</v>
      </c>
      <c r="I99" s="70">
        <v>2075.11</v>
      </c>
      <c r="J99" s="70">
        <v>0</v>
      </c>
      <c r="K99" s="70">
        <v>0</v>
      </c>
      <c r="L99" s="70">
        <v>18.93</v>
      </c>
      <c r="M99" s="70">
        <v>1176.47</v>
      </c>
      <c r="N99" s="70">
        <v>0</v>
      </c>
      <c r="O99" s="70">
        <v>11274.26</v>
      </c>
      <c r="P99" s="70">
        <v>1206</v>
      </c>
      <c r="Q99" s="70">
        <v>13816.4</v>
      </c>
      <c r="R99" s="70">
        <v>17693.64</v>
      </c>
      <c r="S99" s="70">
        <v>10382.36</v>
      </c>
      <c r="T99" s="71">
        <f t="shared" si="5"/>
        <v>127927.76999999999</v>
      </c>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c r="BS99" s="28"/>
      <c r="BT99" s="28"/>
      <c r="BU99" s="28"/>
      <c r="BV99" s="28"/>
      <c r="BW99" s="28"/>
      <c r="BX99" s="28"/>
      <c r="BY99" s="28"/>
      <c r="BZ99" s="28"/>
      <c r="CA99" s="28"/>
      <c r="CB99" s="28"/>
      <c r="CC99" s="28"/>
      <c r="CD99" s="28"/>
      <c r="CE99" s="28"/>
      <c r="CF99" s="28"/>
      <c r="CG99" s="28"/>
      <c r="CH99" s="28"/>
      <c r="CI99" s="28"/>
      <c r="CJ99" s="28"/>
      <c r="CK99" s="28"/>
      <c r="CL99" s="28"/>
      <c r="CM99" s="28"/>
      <c r="CN99" s="28"/>
      <c r="CO99" s="28"/>
      <c r="CP99" s="28"/>
      <c r="CQ99" s="28"/>
      <c r="CR99" s="28"/>
      <c r="CS99" s="28"/>
      <c r="CT99" s="28"/>
      <c r="CU99" s="28"/>
      <c r="CV99" s="28"/>
      <c r="CW99" s="28"/>
      <c r="CX99" s="28"/>
      <c r="CY99" s="28"/>
      <c r="CZ99" s="28"/>
      <c r="DA99" s="28"/>
      <c r="DB99" s="28"/>
      <c r="DC99" s="28"/>
      <c r="DD99" s="28"/>
      <c r="DE99" s="28"/>
      <c r="DF99" s="28"/>
      <c r="DG99" s="28"/>
      <c r="DH99" s="28"/>
      <c r="DI99" s="28"/>
      <c r="DJ99" s="28"/>
      <c r="DK99" s="28"/>
      <c r="DL99" s="28"/>
      <c r="DM99" s="28"/>
      <c r="DN99" s="28"/>
      <c r="DO99" s="28"/>
      <c r="DP99" s="28"/>
      <c r="DQ99" s="28"/>
      <c r="DR99" s="28"/>
      <c r="DS99" s="28"/>
      <c r="DT99" s="28"/>
      <c r="DU99" s="28"/>
      <c r="DV99" s="28"/>
      <c r="DW99" s="28"/>
      <c r="DX99" s="28"/>
      <c r="DY99" s="28"/>
      <c r="DZ99" s="28"/>
      <c r="EA99" s="28"/>
      <c r="EB99" s="28"/>
      <c r="EC99" s="28"/>
      <c r="ED99" s="28"/>
      <c r="EE99" s="28"/>
      <c r="EF99" s="28"/>
      <c r="EG99" s="28"/>
      <c r="EH99" s="28"/>
      <c r="EI99" s="28"/>
      <c r="EJ99" s="28"/>
      <c r="EK99" s="28"/>
      <c r="EL99" s="28"/>
      <c r="EM99" s="28"/>
      <c r="EN99" s="28"/>
      <c r="EO99" s="28"/>
      <c r="EP99" s="28"/>
      <c r="EQ99" s="28"/>
      <c r="ER99" s="28"/>
      <c r="ES99" s="28"/>
      <c r="ET99" s="28"/>
      <c r="EU99" s="28"/>
      <c r="EV99" s="28"/>
      <c r="EW99" s="28"/>
      <c r="EX99" s="28"/>
      <c r="EY99" s="28"/>
      <c r="EZ99" s="28"/>
      <c r="FA99" s="28"/>
      <c r="FB99" s="28"/>
      <c r="FC99" s="28"/>
      <c r="FD99" s="28"/>
      <c r="FE99" s="28"/>
      <c r="FF99" s="28"/>
      <c r="FG99" s="28"/>
      <c r="FH99" s="28"/>
      <c r="FI99" s="28"/>
      <c r="FJ99" s="28"/>
      <c r="FK99" s="28"/>
      <c r="FL99" s="28"/>
      <c r="FM99" s="28"/>
      <c r="FN99" s="28"/>
      <c r="FO99" s="28"/>
      <c r="FP99" s="28"/>
      <c r="FQ99" s="28"/>
      <c r="FR99" s="28"/>
      <c r="FS99" s="28"/>
      <c r="FT99" s="28"/>
      <c r="FU99" s="28"/>
      <c r="FV99" s="28"/>
      <c r="FW99" s="28"/>
      <c r="FX99" s="28"/>
      <c r="FY99" s="28"/>
      <c r="FZ99" s="28"/>
      <c r="GA99" s="28"/>
      <c r="GB99" s="28"/>
      <c r="GC99" s="28"/>
      <c r="GD99" s="28"/>
      <c r="GE99" s="28"/>
      <c r="GF99" s="28"/>
      <c r="GG99" s="28"/>
      <c r="GH99" s="28"/>
      <c r="GI99" s="28"/>
      <c r="GJ99" s="28"/>
      <c r="GK99" s="28"/>
      <c r="GL99" s="28"/>
      <c r="GM99" s="28"/>
      <c r="GN99" s="28"/>
      <c r="GO99" s="28"/>
      <c r="GP99" s="28"/>
      <c r="GQ99" s="28"/>
      <c r="GR99" s="28"/>
      <c r="GS99" s="28"/>
      <c r="GT99" s="28"/>
      <c r="GU99" s="28"/>
      <c r="GV99" s="28"/>
      <c r="GW99" s="28"/>
      <c r="GX99" s="28"/>
      <c r="GY99" s="28"/>
      <c r="GZ99" s="28"/>
      <c r="HA99" s="28"/>
      <c r="HB99" s="28"/>
      <c r="HC99" s="28"/>
    </row>
    <row r="100" spans="1:211" s="56" customFormat="1" x14ac:dyDescent="0.25">
      <c r="A100" s="31" t="s">
        <v>103</v>
      </c>
      <c r="B100" s="57">
        <v>45203</v>
      </c>
      <c r="C100" s="58">
        <v>59</v>
      </c>
      <c r="D100" s="149">
        <v>6723.5</v>
      </c>
      <c r="E100" s="149">
        <v>11262.85</v>
      </c>
      <c r="F100" s="149">
        <v>28072.41</v>
      </c>
      <c r="G100" s="149">
        <v>7889.61</v>
      </c>
      <c r="H100" s="149">
        <v>3506.51</v>
      </c>
      <c r="I100" s="149">
        <v>2261.64</v>
      </c>
      <c r="J100" s="149">
        <v>0</v>
      </c>
      <c r="K100" s="149">
        <v>37.369999999999997</v>
      </c>
      <c r="L100" s="149">
        <v>6620.79</v>
      </c>
      <c r="M100" s="149">
        <v>467.5</v>
      </c>
      <c r="N100" s="149">
        <v>0</v>
      </c>
      <c r="O100" s="149">
        <v>8476.86</v>
      </c>
      <c r="P100" s="149">
        <v>118</v>
      </c>
      <c r="Q100" s="149">
        <v>0</v>
      </c>
      <c r="R100" s="149">
        <v>13219.76</v>
      </c>
      <c r="S100" s="149">
        <v>7494.86</v>
      </c>
      <c r="T100" s="83">
        <f t="shared" si="5"/>
        <v>96151.659999999989</v>
      </c>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c r="BZ100" s="28"/>
      <c r="CA100" s="28"/>
      <c r="CB100" s="28"/>
      <c r="CC100" s="28"/>
      <c r="CD100" s="28"/>
      <c r="CE100" s="28"/>
      <c r="CF100" s="28"/>
      <c r="CG100" s="28"/>
      <c r="CH100" s="28"/>
      <c r="CI100" s="28"/>
      <c r="CJ100" s="28"/>
      <c r="CK100" s="28"/>
      <c r="CL100" s="28"/>
      <c r="CM100" s="28"/>
      <c r="CN100" s="28"/>
      <c r="CO100" s="28"/>
      <c r="CP100" s="28"/>
      <c r="CQ100" s="28"/>
      <c r="CR100" s="28"/>
      <c r="CS100" s="28"/>
      <c r="CT100" s="28"/>
      <c r="CU100" s="28"/>
      <c r="CV100" s="28"/>
      <c r="CW100" s="28"/>
      <c r="CX100" s="28"/>
      <c r="CY100" s="28"/>
      <c r="CZ100" s="28"/>
      <c r="DA100" s="28"/>
      <c r="DB100" s="28"/>
      <c r="DC100" s="28"/>
      <c r="DD100" s="28"/>
      <c r="DE100" s="28"/>
      <c r="DF100" s="28"/>
      <c r="DG100" s="28"/>
      <c r="DH100" s="28"/>
      <c r="DI100" s="28"/>
      <c r="DJ100" s="28"/>
      <c r="DK100" s="28"/>
      <c r="DL100" s="28"/>
      <c r="DM100" s="28"/>
      <c r="DN100" s="28"/>
      <c r="DO100" s="28"/>
      <c r="DP100" s="28"/>
      <c r="DQ100" s="28"/>
      <c r="DR100" s="28"/>
      <c r="DS100" s="28"/>
      <c r="DT100" s="28"/>
      <c r="DU100" s="28"/>
      <c r="DV100" s="28"/>
      <c r="DW100" s="28"/>
      <c r="DX100" s="28"/>
      <c r="DY100" s="28"/>
      <c r="DZ100" s="28"/>
      <c r="EA100" s="28"/>
      <c r="EB100" s="28"/>
      <c r="EC100" s="28"/>
      <c r="ED100" s="28"/>
      <c r="EE100" s="28"/>
      <c r="EF100" s="28"/>
      <c r="EG100" s="28"/>
      <c r="EH100" s="28"/>
      <c r="EI100" s="28"/>
      <c r="EJ100" s="28"/>
      <c r="EK100" s="28"/>
      <c r="EL100" s="28"/>
      <c r="EM100" s="28"/>
      <c r="EN100" s="28"/>
      <c r="EO100" s="28"/>
      <c r="EP100" s="28"/>
      <c r="EQ100" s="28"/>
      <c r="ER100" s="28"/>
      <c r="ES100" s="28"/>
      <c r="ET100" s="28"/>
      <c r="EU100" s="28"/>
      <c r="EV100" s="28"/>
      <c r="EW100" s="28"/>
      <c r="EX100" s="28"/>
      <c r="EY100" s="28"/>
      <c r="EZ100" s="28"/>
      <c r="FA100" s="28"/>
      <c r="FB100" s="28"/>
      <c r="FC100" s="28"/>
      <c r="FD100" s="28"/>
      <c r="FE100" s="28"/>
      <c r="FF100" s="28"/>
      <c r="FG100" s="28"/>
      <c r="FH100" s="28"/>
      <c r="FI100" s="28"/>
      <c r="FJ100" s="28"/>
      <c r="FK100" s="28"/>
      <c r="FL100" s="28"/>
      <c r="FM100" s="28"/>
      <c r="FN100" s="28"/>
      <c r="FO100" s="28"/>
      <c r="FP100" s="28"/>
      <c r="FQ100" s="28"/>
      <c r="FR100" s="28"/>
      <c r="FS100" s="28"/>
      <c r="FT100" s="28"/>
      <c r="FU100" s="28"/>
      <c r="FV100" s="28"/>
      <c r="FW100" s="28"/>
      <c r="FX100" s="28"/>
      <c r="FY100" s="28"/>
      <c r="FZ100" s="28"/>
      <c r="GA100" s="28"/>
      <c r="GB100" s="28"/>
      <c r="GC100" s="28"/>
      <c r="GD100" s="28"/>
      <c r="GE100" s="28"/>
      <c r="GF100" s="28"/>
      <c r="GG100" s="28"/>
      <c r="GH100" s="28"/>
      <c r="GI100" s="28"/>
      <c r="GJ100" s="28"/>
      <c r="GK100" s="28"/>
      <c r="GL100" s="28"/>
      <c r="GM100" s="28"/>
      <c r="GN100" s="28"/>
      <c r="GO100" s="28"/>
      <c r="GP100" s="28"/>
      <c r="GQ100" s="28"/>
      <c r="GR100" s="28"/>
      <c r="GS100" s="28"/>
      <c r="GT100" s="28"/>
      <c r="GU100" s="28"/>
      <c r="GV100" s="28"/>
      <c r="GW100" s="28"/>
      <c r="GX100" s="28"/>
      <c r="GY100" s="28"/>
      <c r="GZ100" s="28"/>
      <c r="HA100" s="28"/>
      <c r="HB100" s="28"/>
      <c r="HC100" s="28"/>
    </row>
    <row r="101" spans="1:211" s="56" customFormat="1" x14ac:dyDescent="0.25">
      <c r="A101" s="31" t="s">
        <v>104</v>
      </c>
      <c r="B101" s="57">
        <v>45217</v>
      </c>
      <c r="C101" s="58">
        <v>60</v>
      </c>
      <c r="D101" s="70">
        <v>2968.17</v>
      </c>
      <c r="E101" s="70">
        <v>2632.63</v>
      </c>
      <c r="F101" s="70">
        <v>13240.51</v>
      </c>
      <c r="G101" s="70">
        <v>1342.14</v>
      </c>
      <c r="H101" s="70">
        <v>2064.8000000000002</v>
      </c>
      <c r="I101" s="70">
        <v>903.38</v>
      </c>
      <c r="J101" s="70">
        <v>0</v>
      </c>
      <c r="K101" s="70">
        <v>0</v>
      </c>
      <c r="L101" s="72">
        <v>8.58</v>
      </c>
      <c r="M101" s="70">
        <v>0</v>
      </c>
      <c r="N101" s="70">
        <v>0</v>
      </c>
      <c r="O101" s="70">
        <v>3594</v>
      </c>
      <c r="P101" s="70">
        <v>0</v>
      </c>
      <c r="Q101" s="70">
        <v>4350.9399999999996</v>
      </c>
      <c r="R101" s="70">
        <v>5502.21</v>
      </c>
      <c r="S101" s="70">
        <v>3351.1</v>
      </c>
      <c r="T101" s="71">
        <f t="shared" si="5"/>
        <v>39958.46</v>
      </c>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c r="CA101" s="28"/>
      <c r="CB101" s="28"/>
      <c r="CC101" s="28"/>
      <c r="CD101" s="28"/>
      <c r="CE101" s="28"/>
      <c r="CF101" s="28"/>
      <c r="CG101" s="28"/>
      <c r="CH101" s="28"/>
      <c r="CI101" s="28"/>
      <c r="CJ101" s="28"/>
      <c r="CK101" s="28"/>
      <c r="CL101" s="28"/>
      <c r="CM101" s="28"/>
      <c r="CN101" s="28"/>
      <c r="CO101" s="28"/>
      <c r="CP101" s="28"/>
      <c r="CQ101" s="28"/>
      <c r="CR101" s="28"/>
      <c r="CS101" s="28"/>
      <c r="CT101" s="28"/>
      <c r="CU101" s="28"/>
      <c r="CV101" s="28"/>
      <c r="CW101" s="28"/>
      <c r="CX101" s="28"/>
      <c r="CY101" s="28"/>
      <c r="CZ101" s="28"/>
      <c r="DA101" s="28"/>
      <c r="DB101" s="28"/>
      <c r="DC101" s="28"/>
      <c r="DD101" s="28"/>
      <c r="DE101" s="28"/>
      <c r="DF101" s="28"/>
      <c r="DG101" s="28"/>
      <c r="DH101" s="28"/>
      <c r="DI101" s="28"/>
      <c r="DJ101" s="28"/>
      <c r="DK101" s="28"/>
      <c r="DL101" s="28"/>
      <c r="DM101" s="28"/>
      <c r="DN101" s="28"/>
      <c r="DO101" s="28"/>
      <c r="DP101" s="28"/>
      <c r="DQ101" s="28"/>
      <c r="DR101" s="28"/>
      <c r="DS101" s="28"/>
      <c r="DT101" s="28"/>
      <c r="DU101" s="28"/>
      <c r="DV101" s="28"/>
      <c r="DW101" s="28"/>
      <c r="DX101" s="28"/>
      <c r="DY101" s="28"/>
      <c r="DZ101" s="28"/>
      <c r="EA101" s="28"/>
      <c r="EB101" s="28"/>
      <c r="EC101" s="28"/>
      <c r="ED101" s="28"/>
      <c r="EE101" s="28"/>
      <c r="EF101" s="28"/>
      <c r="EG101" s="28"/>
      <c r="EH101" s="28"/>
      <c r="EI101" s="28"/>
      <c r="EJ101" s="28"/>
      <c r="EK101" s="28"/>
      <c r="EL101" s="28"/>
      <c r="EM101" s="28"/>
      <c r="EN101" s="28"/>
      <c r="EO101" s="28"/>
      <c r="EP101" s="28"/>
      <c r="EQ101" s="28"/>
      <c r="ER101" s="28"/>
      <c r="ES101" s="28"/>
      <c r="ET101" s="28"/>
      <c r="EU101" s="28"/>
      <c r="EV101" s="28"/>
      <c r="EW101" s="28"/>
      <c r="EX101" s="28"/>
      <c r="EY101" s="28"/>
      <c r="EZ101" s="28"/>
      <c r="FA101" s="28"/>
      <c r="FB101" s="28"/>
      <c r="FC101" s="28"/>
      <c r="FD101" s="28"/>
      <c r="FE101" s="28"/>
      <c r="FF101" s="28"/>
      <c r="FG101" s="28"/>
      <c r="FH101" s="28"/>
      <c r="FI101" s="28"/>
      <c r="FJ101" s="28"/>
      <c r="FK101" s="28"/>
      <c r="FL101" s="28"/>
      <c r="FM101" s="28"/>
      <c r="FN101" s="28"/>
      <c r="FO101" s="28"/>
      <c r="FP101" s="28"/>
      <c r="FQ101" s="28"/>
      <c r="FR101" s="28"/>
      <c r="FS101" s="28"/>
      <c r="FT101" s="28"/>
      <c r="FU101" s="28"/>
      <c r="FV101" s="28"/>
      <c r="FW101" s="28"/>
      <c r="FX101" s="28"/>
      <c r="FY101" s="28"/>
      <c r="FZ101" s="28"/>
      <c r="GA101" s="28"/>
      <c r="GB101" s="28"/>
      <c r="GC101" s="28"/>
      <c r="GD101" s="28"/>
      <c r="GE101" s="28"/>
      <c r="GF101" s="28"/>
      <c r="GG101" s="28"/>
      <c r="GH101" s="28"/>
      <c r="GI101" s="28"/>
      <c r="GJ101" s="28"/>
      <c r="GK101" s="28"/>
      <c r="GL101" s="28"/>
      <c r="GM101" s="28"/>
      <c r="GN101" s="28"/>
      <c r="GO101" s="28"/>
      <c r="GP101" s="28"/>
      <c r="GQ101" s="28"/>
      <c r="GR101" s="28"/>
      <c r="GS101" s="28"/>
      <c r="GT101" s="28"/>
      <c r="GU101" s="28"/>
      <c r="GV101" s="28"/>
      <c r="GW101" s="28"/>
      <c r="GX101" s="28"/>
      <c r="GY101" s="28"/>
      <c r="GZ101" s="28"/>
      <c r="HA101" s="28"/>
      <c r="HB101" s="28"/>
      <c r="HC101" s="28"/>
    </row>
    <row r="102" spans="1:211" s="56" customFormat="1" x14ac:dyDescent="0.25">
      <c r="A102" s="31" t="s">
        <v>105</v>
      </c>
      <c r="B102" s="57">
        <v>45155</v>
      </c>
      <c r="C102" s="58">
        <v>220</v>
      </c>
      <c r="D102" s="70">
        <v>19235.54</v>
      </c>
      <c r="E102" s="70">
        <v>7694.22</v>
      </c>
      <c r="F102" s="70">
        <v>73765.53</v>
      </c>
      <c r="G102" s="70">
        <v>10705.03</v>
      </c>
      <c r="H102" s="70">
        <v>5017.9799999999996</v>
      </c>
      <c r="I102" s="70">
        <v>2676.25</v>
      </c>
      <c r="J102" s="70">
        <v>0</v>
      </c>
      <c r="K102" s="70">
        <v>0</v>
      </c>
      <c r="L102" s="70">
        <v>0</v>
      </c>
      <c r="M102" s="70">
        <v>7.18</v>
      </c>
      <c r="N102" s="70">
        <v>0</v>
      </c>
      <c r="O102" s="70">
        <v>17452.169999999998</v>
      </c>
      <c r="P102" s="70">
        <v>3080</v>
      </c>
      <c r="Q102" s="70">
        <v>19333.439999999999</v>
      </c>
      <c r="R102" s="70">
        <v>28127.06</v>
      </c>
      <c r="S102" s="70">
        <v>17143.59</v>
      </c>
      <c r="T102" s="71">
        <f t="shared" si="5"/>
        <v>204237.99</v>
      </c>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c r="CA102" s="28"/>
      <c r="CB102" s="28"/>
      <c r="CC102" s="28"/>
      <c r="CD102" s="28"/>
      <c r="CE102" s="28"/>
      <c r="CF102" s="28"/>
      <c r="CG102" s="28"/>
      <c r="CH102" s="28"/>
      <c r="CI102" s="28"/>
      <c r="CJ102" s="28"/>
      <c r="CK102" s="28"/>
      <c r="CL102" s="28"/>
      <c r="CM102" s="28"/>
      <c r="CN102" s="28"/>
      <c r="CO102" s="28"/>
      <c r="CP102" s="28"/>
      <c r="CQ102" s="28"/>
      <c r="CR102" s="28"/>
      <c r="CS102" s="28"/>
      <c r="CT102" s="28"/>
      <c r="CU102" s="28"/>
      <c r="CV102" s="28"/>
      <c r="CW102" s="28"/>
      <c r="CX102" s="28"/>
      <c r="CY102" s="28"/>
      <c r="CZ102" s="28"/>
      <c r="DA102" s="28"/>
      <c r="DB102" s="28"/>
      <c r="DC102" s="28"/>
      <c r="DD102" s="28"/>
      <c r="DE102" s="28"/>
      <c r="DF102" s="28"/>
      <c r="DG102" s="28"/>
      <c r="DH102" s="28"/>
      <c r="DI102" s="28"/>
      <c r="DJ102" s="28"/>
      <c r="DK102" s="28"/>
      <c r="DL102" s="28"/>
      <c r="DM102" s="28"/>
      <c r="DN102" s="28"/>
      <c r="DO102" s="28"/>
      <c r="DP102" s="28"/>
      <c r="DQ102" s="28"/>
      <c r="DR102" s="28"/>
      <c r="DS102" s="28"/>
      <c r="DT102" s="28"/>
      <c r="DU102" s="28"/>
      <c r="DV102" s="28"/>
      <c r="DW102" s="28"/>
      <c r="DX102" s="28"/>
      <c r="DY102" s="28"/>
      <c r="DZ102" s="28"/>
      <c r="EA102" s="28"/>
      <c r="EB102" s="28"/>
      <c r="EC102" s="28"/>
      <c r="ED102" s="28"/>
      <c r="EE102" s="28"/>
      <c r="EF102" s="28"/>
      <c r="EG102" s="28"/>
      <c r="EH102" s="28"/>
      <c r="EI102" s="28"/>
      <c r="EJ102" s="28"/>
      <c r="EK102" s="28"/>
      <c r="EL102" s="28"/>
      <c r="EM102" s="28"/>
      <c r="EN102" s="28"/>
      <c r="EO102" s="28"/>
      <c r="EP102" s="28"/>
      <c r="EQ102" s="28"/>
      <c r="ER102" s="28"/>
      <c r="ES102" s="28"/>
      <c r="ET102" s="28"/>
      <c r="EU102" s="28"/>
      <c r="EV102" s="28"/>
      <c r="EW102" s="28"/>
      <c r="EX102" s="28"/>
      <c r="EY102" s="28"/>
      <c r="EZ102" s="28"/>
      <c r="FA102" s="28"/>
      <c r="FB102" s="28"/>
      <c r="FC102" s="28"/>
      <c r="FD102" s="28"/>
      <c r="FE102" s="28"/>
      <c r="FF102" s="28"/>
      <c r="FG102" s="28"/>
      <c r="FH102" s="28"/>
      <c r="FI102" s="28"/>
      <c r="FJ102" s="28"/>
      <c r="FK102" s="28"/>
      <c r="FL102" s="28"/>
      <c r="FM102" s="28"/>
      <c r="FN102" s="28"/>
      <c r="FO102" s="28"/>
      <c r="FP102" s="28"/>
      <c r="FQ102" s="28"/>
      <c r="FR102" s="28"/>
      <c r="FS102" s="28"/>
      <c r="FT102" s="28"/>
      <c r="FU102" s="28"/>
      <c r="FV102" s="28"/>
      <c r="FW102" s="28"/>
      <c r="FX102" s="28"/>
      <c r="FY102" s="28"/>
      <c r="FZ102" s="28"/>
      <c r="GA102" s="28"/>
      <c r="GB102" s="28"/>
      <c r="GC102" s="28"/>
      <c r="GD102" s="28"/>
      <c r="GE102" s="28"/>
      <c r="GF102" s="28"/>
      <c r="GG102" s="28"/>
      <c r="GH102" s="28"/>
      <c r="GI102" s="28"/>
      <c r="GJ102" s="28"/>
      <c r="GK102" s="28"/>
      <c r="GL102" s="28"/>
      <c r="GM102" s="28"/>
      <c r="GN102" s="28"/>
      <c r="GO102" s="28"/>
      <c r="GP102" s="28"/>
      <c r="GQ102" s="28"/>
      <c r="GR102" s="28"/>
      <c r="GS102" s="28"/>
      <c r="GT102" s="28"/>
      <c r="GU102" s="28"/>
      <c r="GV102" s="28"/>
      <c r="GW102" s="28"/>
      <c r="GX102" s="28"/>
      <c r="GY102" s="28"/>
      <c r="GZ102" s="28"/>
      <c r="HA102" s="28"/>
      <c r="HB102" s="28"/>
      <c r="HC102" s="28"/>
    </row>
    <row r="103" spans="1:211" s="56" customFormat="1" x14ac:dyDescent="0.25">
      <c r="A103" s="31" t="s">
        <v>106</v>
      </c>
      <c r="B103" s="57">
        <v>45167</v>
      </c>
      <c r="C103" s="58">
        <v>2</v>
      </c>
      <c r="D103" s="70">
        <v>64.400000000000006</v>
      </c>
      <c r="E103" s="70">
        <v>79.52</v>
      </c>
      <c r="F103" s="70">
        <v>380.8</v>
      </c>
      <c r="G103" s="70">
        <v>88.4</v>
      </c>
      <c r="H103" s="70">
        <v>42</v>
      </c>
      <c r="I103" s="70">
        <v>67.2</v>
      </c>
      <c r="J103" s="70">
        <v>0</v>
      </c>
      <c r="K103" s="70">
        <v>0</v>
      </c>
      <c r="L103" s="70"/>
      <c r="M103" s="70">
        <v>21.28</v>
      </c>
      <c r="N103" s="70">
        <v>0</v>
      </c>
      <c r="O103" s="70">
        <v>115.53</v>
      </c>
      <c r="P103" s="70">
        <v>56.7</v>
      </c>
      <c r="Q103" s="70">
        <v>121.05</v>
      </c>
      <c r="R103" s="70">
        <v>172.94</v>
      </c>
      <c r="S103" s="70">
        <v>116.46</v>
      </c>
      <c r="T103" s="71">
        <f t="shared" si="5"/>
        <v>1326.2800000000002</v>
      </c>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c r="CE103" s="28"/>
      <c r="CF103" s="28"/>
      <c r="CG103" s="28"/>
      <c r="CH103" s="28"/>
      <c r="CI103" s="28"/>
      <c r="CJ103" s="28"/>
      <c r="CK103" s="28"/>
      <c r="CL103" s="28"/>
      <c r="CM103" s="28"/>
      <c r="CN103" s="28"/>
      <c r="CO103" s="28"/>
      <c r="CP103" s="28"/>
      <c r="CQ103" s="28"/>
      <c r="CR103" s="28"/>
      <c r="CS103" s="28"/>
      <c r="CT103" s="28"/>
      <c r="CU103" s="28"/>
      <c r="CV103" s="28"/>
      <c r="CW103" s="28"/>
      <c r="CX103" s="28"/>
      <c r="CY103" s="28"/>
      <c r="CZ103" s="28"/>
      <c r="DA103" s="28"/>
      <c r="DB103" s="28"/>
      <c r="DC103" s="28"/>
      <c r="DD103" s="28"/>
      <c r="DE103" s="28"/>
      <c r="DF103" s="28"/>
      <c r="DG103" s="28"/>
      <c r="DH103" s="28"/>
      <c r="DI103" s="28"/>
      <c r="DJ103" s="28"/>
      <c r="DK103" s="28"/>
      <c r="DL103" s="28"/>
      <c r="DM103" s="28"/>
      <c r="DN103" s="28"/>
      <c r="DO103" s="28"/>
      <c r="DP103" s="28"/>
      <c r="DQ103" s="28"/>
      <c r="DR103" s="28"/>
      <c r="DS103" s="28"/>
      <c r="DT103" s="28"/>
      <c r="DU103" s="28"/>
      <c r="DV103" s="28"/>
      <c r="DW103" s="28"/>
      <c r="DX103" s="28"/>
      <c r="DY103" s="28"/>
      <c r="DZ103" s="28"/>
      <c r="EA103" s="28"/>
      <c r="EB103" s="28"/>
      <c r="EC103" s="28"/>
      <c r="ED103" s="28"/>
      <c r="EE103" s="28"/>
      <c r="EF103" s="28"/>
      <c r="EG103" s="28"/>
      <c r="EH103" s="28"/>
      <c r="EI103" s="28"/>
      <c r="EJ103" s="28"/>
      <c r="EK103" s="28"/>
      <c r="EL103" s="28"/>
      <c r="EM103" s="28"/>
      <c r="EN103" s="28"/>
      <c r="EO103" s="28"/>
      <c r="EP103" s="28"/>
      <c r="EQ103" s="28"/>
      <c r="ER103" s="28"/>
      <c r="ES103" s="28"/>
      <c r="ET103" s="28"/>
      <c r="EU103" s="28"/>
      <c r="EV103" s="28"/>
      <c r="EW103" s="28"/>
      <c r="EX103" s="28"/>
      <c r="EY103" s="28"/>
      <c r="EZ103" s="28"/>
      <c r="FA103" s="28"/>
      <c r="FB103" s="28"/>
      <c r="FC103" s="28"/>
      <c r="FD103" s="28"/>
      <c r="FE103" s="28"/>
      <c r="FF103" s="28"/>
      <c r="FG103" s="28"/>
      <c r="FH103" s="28"/>
      <c r="FI103" s="28"/>
      <c r="FJ103" s="28"/>
      <c r="FK103" s="28"/>
      <c r="FL103" s="28"/>
      <c r="FM103" s="28"/>
      <c r="FN103" s="28"/>
      <c r="FO103" s="28"/>
      <c r="FP103" s="28"/>
      <c r="FQ103" s="28"/>
      <c r="FR103" s="28"/>
      <c r="FS103" s="28"/>
      <c r="FT103" s="28"/>
      <c r="FU103" s="28"/>
      <c r="FV103" s="28"/>
      <c r="FW103" s="28"/>
      <c r="FX103" s="28"/>
      <c r="FY103" s="28"/>
      <c r="FZ103" s="28"/>
      <c r="GA103" s="28"/>
      <c r="GB103" s="28"/>
      <c r="GC103" s="28"/>
      <c r="GD103" s="28"/>
      <c r="GE103" s="28"/>
      <c r="GF103" s="28"/>
      <c r="GG103" s="28"/>
      <c r="GH103" s="28"/>
      <c r="GI103" s="28"/>
      <c r="GJ103" s="28"/>
      <c r="GK103" s="28"/>
      <c r="GL103" s="28"/>
      <c r="GM103" s="28"/>
      <c r="GN103" s="28"/>
      <c r="GO103" s="28"/>
      <c r="GP103" s="28"/>
      <c r="GQ103" s="28"/>
      <c r="GR103" s="28"/>
      <c r="GS103" s="28"/>
      <c r="GT103" s="28"/>
      <c r="GU103" s="28"/>
      <c r="GV103" s="28"/>
      <c r="GW103" s="28"/>
      <c r="GX103" s="28"/>
      <c r="GY103" s="28"/>
      <c r="GZ103" s="28"/>
      <c r="HA103" s="28"/>
      <c r="HB103" s="28"/>
      <c r="HC103" s="28"/>
    </row>
    <row r="104" spans="1:211" s="56" customFormat="1" x14ac:dyDescent="0.25">
      <c r="A104" s="31" t="s">
        <v>107</v>
      </c>
      <c r="B104" s="57">
        <v>45154</v>
      </c>
      <c r="C104" s="58">
        <v>73</v>
      </c>
      <c r="D104" s="70">
        <v>4542.87</v>
      </c>
      <c r="E104" s="70">
        <v>3020.98</v>
      </c>
      <c r="F104" s="70">
        <v>17065.259999999998</v>
      </c>
      <c r="G104" s="70">
        <v>3199.77</v>
      </c>
      <c r="H104" s="70">
        <v>2765.2</v>
      </c>
      <c r="I104" s="70">
        <v>1817.13</v>
      </c>
      <c r="J104" s="70">
        <v>0</v>
      </c>
      <c r="K104" s="70">
        <v>16.899999999999999</v>
      </c>
      <c r="L104" s="70">
        <v>0</v>
      </c>
      <c r="M104" s="70">
        <v>355.55</v>
      </c>
      <c r="N104" s="70">
        <v>0</v>
      </c>
      <c r="O104" s="70">
        <v>4133.82</v>
      </c>
      <c r="P104" s="70">
        <v>146</v>
      </c>
      <c r="Q104" s="70">
        <v>0</v>
      </c>
      <c r="R104" s="70">
        <v>6489.77</v>
      </c>
      <c r="S104" s="70">
        <v>3245.07</v>
      </c>
      <c r="T104" s="71">
        <f t="shared" si="5"/>
        <v>46798.32</v>
      </c>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28"/>
      <c r="DY104" s="28"/>
      <c r="DZ104" s="28"/>
      <c r="EA104" s="28"/>
      <c r="EB104" s="28"/>
      <c r="EC104" s="28"/>
      <c r="ED104" s="28"/>
      <c r="EE104" s="28"/>
      <c r="EF104" s="28"/>
      <c r="EG104" s="28"/>
      <c r="EH104" s="28"/>
      <c r="EI104" s="28"/>
      <c r="EJ104" s="28"/>
      <c r="EK104" s="28"/>
      <c r="EL104" s="28"/>
      <c r="EM104" s="28"/>
      <c r="EN104" s="28"/>
      <c r="EO104" s="28"/>
      <c r="EP104" s="28"/>
      <c r="EQ104" s="28"/>
      <c r="ER104" s="28"/>
      <c r="ES104" s="28"/>
      <c r="ET104" s="28"/>
      <c r="EU104" s="28"/>
      <c r="EV104" s="28"/>
      <c r="EW104" s="28"/>
      <c r="EX104" s="28"/>
      <c r="EY104" s="28"/>
      <c r="EZ104" s="28"/>
      <c r="FA104" s="28"/>
      <c r="FB104" s="28"/>
      <c r="FC104" s="28"/>
      <c r="FD104" s="28"/>
      <c r="FE104" s="28"/>
      <c r="FF104" s="28"/>
      <c r="FG104" s="28"/>
      <c r="FH104" s="28"/>
      <c r="FI104" s="28"/>
      <c r="FJ104" s="28"/>
      <c r="FK104" s="28"/>
      <c r="FL104" s="28"/>
      <c r="FM104" s="28"/>
      <c r="FN104" s="28"/>
      <c r="FO104" s="28"/>
      <c r="FP104" s="28"/>
      <c r="FQ104" s="28"/>
      <c r="FR104" s="28"/>
      <c r="FS104" s="28"/>
      <c r="FT104" s="28"/>
      <c r="FU104" s="28"/>
      <c r="FV104" s="28"/>
      <c r="FW104" s="28"/>
      <c r="FX104" s="28"/>
      <c r="FY104" s="28"/>
      <c r="FZ104" s="28"/>
      <c r="GA104" s="28"/>
      <c r="GB104" s="28"/>
      <c r="GC104" s="28"/>
      <c r="GD104" s="28"/>
      <c r="GE104" s="28"/>
      <c r="GF104" s="28"/>
      <c r="GG104" s="28"/>
      <c r="GH104" s="28"/>
      <c r="GI104" s="28"/>
      <c r="GJ104" s="28"/>
      <c r="GK104" s="28"/>
      <c r="GL104" s="28"/>
      <c r="GM104" s="28"/>
      <c r="GN104" s="28"/>
      <c r="GO104" s="28"/>
      <c r="GP104" s="28"/>
      <c r="GQ104" s="28"/>
      <c r="GR104" s="28"/>
      <c r="GS104" s="28"/>
      <c r="GT104" s="28"/>
      <c r="GU104" s="28"/>
      <c r="GV104" s="28"/>
      <c r="GW104" s="28"/>
      <c r="GX104" s="28"/>
      <c r="GY104" s="28"/>
      <c r="GZ104" s="28"/>
      <c r="HA104" s="28"/>
      <c r="HB104" s="28"/>
      <c r="HC104" s="28"/>
    </row>
    <row r="105" spans="1:211" s="56" customFormat="1" x14ac:dyDescent="0.25">
      <c r="A105" s="31" t="s">
        <v>108</v>
      </c>
      <c r="B105" s="57">
        <v>45168</v>
      </c>
      <c r="C105" s="58">
        <v>38</v>
      </c>
      <c r="D105" s="70">
        <v>2862.72</v>
      </c>
      <c r="E105" s="70">
        <v>1742.53</v>
      </c>
      <c r="F105" s="70">
        <v>13292.91</v>
      </c>
      <c r="G105" s="70">
        <v>2489.31</v>
      </c>
      <c r="H105" s="70">
        <v>1120.18</v>
      </c>
      <c r="I105" s="70">
        <v>0</v>
      </c>
      <c r="J105" s="70">
        <v>0</v>
      </c>
      <c r="K105" s="70">
        <v>0</v>
      </c>
      <c r="L105" s="70">
        <v>3.46</v>
      </c>
      <c r="M105" s="70">
        <v>0</v>
      </c>
      <c r="N105" s="70">
        <v>0</v>
      </c>
      <c r="O105" s="70">
        <v>3335.24</v>
      </c>
      <c r="P105" s="70">
        <v>380</v>
      </c>
      <c r="Q105" s="70">
        <v>3500.99</v>
      </c>
      <c r="R105" s="70">
        <v>5002.3999999999996</v>
      </c>
      <c r="S105" s="70">
        <v>3071.21</v>
      </c>
      <c r="T105" s="71">
        <f t="shared" si="5"/>
        <v>36800.949999999997</v>
      </c>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c r="CD105" s="28"/>
      <c r="CE105" s="28"/>
      <c r="CF105" s="28"/>
      <c r="CG105" s="28"/>
      <c r="CH105" s="28"/>
      <c r="CI105" s="28"/>
      <c r="CJ105" s="28"/>
      <c r="CK105" s="28"/>
      <c r="CL105" s="28"/>
      <c r="CM105" s="28"/>
      <c r="CN105" s="28"/>
      <c r="CO105" s="28"/>
      <c r="CP105" s="28"/>
      <c r="CQ105" s="28"/>
      <c r="CR105" s="28"/>
      <c r="CS105" s="28"/>
      <c r="CT105" s="28"/>
      <c r="CU105" s="28"/>
      <c r="CV105" s="28"/>
      <c r="CW105" s="28"/>
      <c r="CX105" s="28"/>
      <c r="CY105" s="28"/>
      <c r="CZ105" s="28"/>
      <c r="DA105" s="28"/>
      <c r="DB105" s="28"/>
      <c r="DC105" s="28"/>
      <c r="DD105" s="28"/>
      <c r="DE105" s="28"/>
      <c r="DF105" s="28"/>
      <c r="DG105" s="28"/>
      <c r="DH105" s="28"/>
      <c r="DI105" s="28"/>
      <c r="DJ105" s="28"/>
      <c r="DK105" s="28"/>
      <c r="DL105" s="28"/>
      <c r="DM105" s="28"/>
      <c r="DN105" s="28"/>
      <c r="DO105" s="28"/>
      <c r="DP105" s="28"/>
      <c r="DQ105" s="28"/>
      <c r="DR105" s="28"/>
      <c r="DS105" s="28"/>
      <c r="DT105" s="28"/>
      <c r="DU105" s="28"/>
      <c r="DV105" s="28"/>
      <c r="DW105" s="28"/>
      <c r="DX105" s="28"/>
      <c r="DY105" s="28"/>
      <c r="DZ105" s="28"/>
      <c r="EA105" s="28"/>
      <c r="EB105" s="28"/>
      <c r="EC105" s="28"/>
      <c r="ED105" s="28"/>
      <c r="EE105" s="28"/>
      <c r="EF105" s="28"/>
      <c r="EG105" s="28"/>
      <c r="EH105" s="28"/>
      <c r="EI105" s="28"/>
      <c r="EJ105" s="28"/>
      <c r="EK105" s="28"/>
      <c r="EL105" s="28"/>
      <c r="EM105" s="28"/>
      <c r="EN105" s="28"/>
      <c r="EO105" s="28"/>
      <c r="EP105" s="28"/>
      <c r="EQ105" s="28"/>
      <c r="ER105" s="28"/>
      <c r="ES105" s="28"/>
      <c r="ET105" s="28"/>
      <c r="EU105" s="28"/>
      <c r="EV105" s="28"/>
      <c r="EW105" s="28"/>
      <c r="EX105" s="28"/>
      <c r="EY105" s="28"/>
      <c r="EZ105" s="28"/>
      <c r="FA105" s="28"/>
      <c r="FB105" s="28"/>
      <c r="FC105" s="28"/>
      <c r="FD105" s="28"/>
      <c r="FE105" s="28"/>
      <c r="FF105" s="28"/>
      <c r="FG105" s="28"/>
      <c r="FH105" s="28"/>
      <c r="FI105" s="28"/>
      <c r="FJ105" s="28"/>
      <c r="FK105" s="28"/>
      <c r="FL105" s="28"/>
      <c r="FM105" s="28"/>
      <c r="FN105" s="28"/>
      <c r="FO105" s="28"/>
      <c r="FP105" s="28"/>
      <c r="FQ105" s="28"/>
      <c r="FR105" s="28"/>
      <c r="FS105" s="28"/>
      <c r="FT105" s="28"/>
      <c r="FU105" s="28"/>
      <c r="FV105" s="28"/>
      <c r="FW105" s="28"/>
      <c r="FX105" s="28"/>
      <c r="FY105" s="28"/>
      <c r="FZ105" s="28"/>
      <c r="GA105" s="28"/>
      <c r="GB105" s="28"/>
      <c r="GC105" s="28"/>
      <c r="GD105" s="28"/>
      <c r="GE105" s="28"/>
      <c r="GF105" s="28"/>
      <c r="GG105" s="28"/>
      <c r="GH105" s="28"/>
      <c r="GI105" s="28"/>
      <c r="GJ105" s="28"/>
      <c r="GK105" s="28"/>
      <c r="GL105" s="28"/>
      <c r="GM105" s="28"/>
      <c r="GN105" s="28"/>
      <c r="GO105" s="28"/>
      <c r="GP105" s="28"/>
      <c r="GQ105" s="28"/>
      <c r="GR105" s="28"/>
      <c r="GS105" s="28"/>
      <c r="GT105" s="28"/>
      <c r="GU105" s="28"/>
      <c r="GV105" s="28"/>
      <c r="GW105" s="28"/>
      <c r="GX105" s="28"/>
      <c r="GY105" s="28"/>
      <c r="GZ105" s="28"/>
      <c r="HA105" s="28"/>
      <c r="HB105" s="28"/>
      <c r="HC105" s="28"/>
    </row>
    <row r="106" spans="1:211" s="56" customFormat="1" x14ac:dyDescent="0.25">
      <c r="A106" s="31" t="s">
        <v>109</v>
      </c>
      <c r="B106" s="57">
        <v>45181</v>
      </c>
      <c r="C106" s="58">
        <v>30</v>
      </c>
      <c r="D106" s="70">
        <v>3118.06</v>
      </c>
      <c r="E106" s="70">
        <v>2104.83</v>
      </c>
      <c r="F106" s="70">
        <v>13936.99</v>
      </c>
      <c r="G106" s="70">
        <v>1612.74</v>
      </c>
      <c r="H106" s="70">
        <v>1227.1400000000001</v>
      </c>
      <c r="I106" s="70">
        <v>1041.42</v>
      </c>
      <c r="J106" s="70">
        <v>1808</v>
      </c>
      <c r="K106" s="70">
        <v>0</v>
      </c>
      <c r="L106" s="70">
        <v>0</v>
      </c>
      <c r="M106" s="70">
        <v>242.59</v>
      </c>
      <c r="N106" s="70">
        <v>1779.89</v>
      </c>
      <c r="O106" s="70">
        <v>3481.18</v>
      </c>
      <c r="P106" s="70">
        <v>124</v>
      </c>
      <c r="Q106" s="70"/>
      <c r="R106" s="70">
        <v>5309.7</v>
      </c>
      <c r="S106" s="70">
        <v>3335.21</v>
      </c>
      <c r="T106" s="71">
        <f t="shared" si="5"/>
        <v>39121.75</v>
      </c>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8"/>
      <c r="CK106" s="28"/>
      <c r="CL106" s="28"/>
      <c r="CM106" s="28"/>
      <c r="CN106" s="28"/>
      <c r="CO106" s="28"/>
      <c r="CP106" s="28"/>
      <c r="CQ106" s="28"/>
      <c r="CR106" s="28"/>
      <c r="CS106" s="28"/>
      <c r="CT106" s="28"/>
      <c r="CU106" s="28"/>
      <c r="CV106" s="28"/>
      <c r="CW106" s="28"/>
      <c r="CX106" s="28"/>
      <c r="CY106" s="28"/>
      <c r="CZ106" s="28"/>
      <c r="DA106" s="28"/>
      <c r="DB106" s="28"/>
      <c r="DC106" s="28"/>
      <c r="DD106" s="28"/>
      <c r="DE106" s="28"/>
      <c r="DF106" s="28"/>
      <c r="DG106" s="28"/>
      <c r="DH106" s="28"/>
      <c r="DI106" s="28"/>
      <c r="DJ106" s="28"/>
      <c r="DK106" s="28"/>
      <c r="DL106" s="28"/>
      <c r="DM106" s="28"/>
      <c r="DN106" s="28"/>
      <c r="DO106" s="28"/>
      <c r="DP106" s="28"/>
      <c r="DQ106" s="28"/>
      <c r="DR106" s="28"/>
      <c r="DS106" s="28"/>
      <c r="DT106" s="28"/>
      <c r="DU106" s="28"/>
      <c r="DV106" s="28"/>
      <c r="DW106" s="28"/>
      <c r="DX106" s="28"/>
      <c r="DY106" s="28"/>
      <c r="DZ106" s="28"/>
      <c r="EA106" s="28"/>
      <c r="EB106" s="28"/>
      <c r="EC106" s="28"/>
      <c r="ED106" s="28"/>
      <c r="EE106" s="28"/>
      <c r="EF106" s="28"/>
      <c r="EG106" s="28"/>
      <c r="EH106" s="28"/>
      <c r="EI106" s="28"/>
      <c r="EJ106" s="28"/>
      <c r="EK106" s="28"/>
      <c r="EL106" s="28"/>
      <c r="EM106" s="28"/>
      <c r="EN106" s="28"/>
      <c r="EO106" s="28"/>
      <c r="EP106" s="28"/>
      <c r="EQ106" s="28"/>
      <c r="ER106" s="28"/>
      <c r="ES106" s="28"/>
      <c r="ET106" s="28"/>
      <c r="EU106" s="28"/>
      <c r="EV106" s="28"/>
      <c r="EW106" s="28"/>
      <c r="EX106" s="28"/>
      <c r="EY106" s="28"/>
      <c r="EZ106" s="28"/>
      <c r="FA106" s="28"/>
      <c r="FB106" s="28"/>
      <c r="FC106" s="28"/>
      <c r="FD106" s="28"/>
      <c r="FE106" s="28"/>
      <c r="FF106" s="28"/>
      <c r="FG106" s="28"/>
      <c r="FH106" s="28"/>
      <c r="FI106" s="28"/>
      <c r="FJ106" s="28"/>
      <c r="FK106" s="28"/>
      <c r="FL106" s="28"/>
      <c r="FM106" s="28"/>
      <c r="FN106" s="28"/>
      <c r="FO106" s="28"/>
      <c r="FP106" s="28"/>
      <c r="FQ106" s="28"/>
      <c r="FR106" s="28"/>
      <c r="FS106" s="28"/>
      <c r="FT106" s="28"/>
      <c r="FU106" s="28"/>
      <c r="FV106" s="28"/>
      <c r="FW106" s="28"/>
      <c r="FX106" s="28"/>
      <c r="FY106" s="28"/>
      <c r="FZ106" s="28"/>
      <c r="GA106" s="28"/>
      <c r="GB106" s="28"/>
      <c r="GC106" s="28"/>
      <c r="GD106" s="28"/>
      <c r="GE106" s="28"/>
      <c r="GF106" s="28"/>
      <c r="GG106" s="28"/>
      <c r="GH106" s="28"/>
      <c r="GI106" s="28"/>
      <c r="GJ106" s="28"/>
      <c r="GK106" s="28"/>
      <c r="GL106" s="28"/>
      <c r="GM106" s="28"/>
      <c r="GN106" s="28"/>
      <c r="GO106" s="28"/>
      <c r="GP106" s="28"/>
      <c r="GQ106" s="28"/>
      <c r="GR106" s="28"/>
      <c r="GS106" s="28"/>
      <c r="GT106" s="28"/>
      <c r="GU106" s="28"/>
      <c r="GV106" s="28"/>
      <c r="GW106" s="28"/>
      <c r="GX106" s="28"/>
      <c r="GY106" s="28"/>
      <c r="GZ106" s="28"/>
      <c r="HA106" s="28"/>
      <c r="HB106" s="28"/>
      <c r="HC106" s="28"/>
    </row>
    <row r="107" spans="1:211" s="56" customFormat="1" x14ac:dyDescent="0.25">
      <c r="A107" s="31" t="s">
        <v>110</v>
      </c>
      <c r="B107" s="57">
        <v>45159</v>
      </c>
      <c r="C107" s="58">
        <v>58</v>
      </c>
      <c r="D107" s="70">
        <v>11935.87</v>
      </c>
      <c r="E107" s="70">
        <v>6227.42</v>
      </c>
      <c r="F107" s="70">
        <v>60302.29</v>
      </c>
      <c r="G107" s="70">
        <v>5189.5200000000004</v>
      </c>
      <c r="H107" s="70">
        <v>4566.79</v>
      </c>
      <c r="I107" s="70">
        <v>1826.72</v>
      </c>
      <c r="J107" s="70">
        <v>0</v>
      </c>
      <c r="K107" s="70">
        <v>0</v>
      </c>
      <c r="L107" s="70">
        <v>0</v>
      </c>
      <c r="M107" s="70">
        <v>0</v>
      </c>
      <c r="N107" s="70">
        <v>0</v>
      </c>
      <c r="O107" s="70">
        <v>12954.34</v>
      </c>
      <c r="P107" s="70">
        <v>1197</v>
      </c>
      <c r="Q107" s="70">
        <v>14605.24</v>
      </c>
      <c r="R107" s="70">
        <v>21135.67</v>
      </c>
      <c r="S107" s="70">
        <v>11320.41</v>
      </c>
      <c r="T107" s="71">
        <f t="shared" si="5"/>
        <v>151261.26999999999</v>
      </c>
      <c r="U107" s="57"/>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c r="BY107" s="28"/>
      <c r="BZ107" s="28"/>
      <c r="CA107" s="28"/>
      <c r="CB107" s="28"/>
      <c r="CC107" s="28"/>
      <c r="CD107" s="28"/>
      <c r="CE107" s="28"/>
      <c r="CF107" s="28"/>
      <c r="CG107" s="28"/>
      <c r="CH107" s="28"/>
      <c r="CI107" s="28"/>
      <c r="CJ107" s="28"/>
      <c r="CK107" s="28"/>
      <c r="CL107" s="28"/>
      <c r="CM107" s="28"/>
      <c r="CN107" s="28"/>
      <c r="CO107" s="28"/>
      <c r="CP107" s="28"/>
      <c r="CQ107" s="28"/>
      <c r="CR107" s="28"/>
      <c r="CS107" s="28"/>
      <c r="CT107" s="28"/>
      <c r="CU107" s="28"/>
      <c r="CV107" s="28"/>
      <c r="CW107" s="28"/>
      <c r="CX107" s="28"/>
      <c r="CY107" s="28"/>
      <c r="CZ107" s="28"/>
      <c r="DA107" s="28"/>
      <c r="DB107" s="28"/>
      <c r="DC107" s="28"/>
      <c r="DD107" s="28"/>
      <c r="DE107" s="28"/>
      <c r="DF107" s="28"/>
      <c r="DG107" s="28"/>
      <c r="DH107" s="28"/>
      <c r="DI107" s="28"/>
      <c r="DJ107" s="28"/>
      <c r="DK107" s="28"/>
      <c r="DL107" s="28"/>
      <c r="DM107" s="28"/>
      <c r="DN107" s="28"/>
      <c r="DO107" s="28"/>
      <c r="DP107" s="28"/>
      <c r="DQ107" s="28"/>
      <c r="DR107" s="28"/>
      <c r="DS107" s="28"/>
      <c r="DT107" s="28"/>
      <c r="DU107" s="28"/>
      <c r="DV107" s="28"/>
      <c r="DW107" s="28"/>
      <c r="DX107" s="28"/>
      <c r="DY107" s="28"/>
      <c r="DZ107" s="28"/>
      <c r="EA107" s="28"/>
      <c r="EB107" s="28"/>
      <c r="EC107" s="28"/>
      <c r="ED107" s="28"/>
      <c r="EE107" s="28"/>
      <c r="EF107" s="28"/>
      <c r="EG107" s="28"/>
      <c r="EH107" s="28"/>
      <c r="EI107" s="28"/>
      <c r="EJ107" s="28"/>
      <c r="EK107" s="28"/>
      <c r="EL107" s="28"/>
      <c r="EM107" s="28"/>
      <c r="EN107" s="28"/>
      <c r="EO107" s="28"/>
      <c r="EP107" s="28"/>
      <c r="EQ107" s="28"/>
      <c r="ER107" s="28"/>
      <c r="ES107" s="28"/>
      <c r="ET107" s="28"/>
      <c r="EU107" s="28"/>
      <c r="EV107" s="28"/>
      <c r="EW107" s="28"/>
      <c r="EX107" s="28"/>
      <c r="EY107" s="28"/>
      <c r="EZ107" s="28"/>
      <c r="FA107" s="28"/>
      <c r="FB107" s="28"/>
      <c r="FC107" s="28"/>
      <c r="FD107" s="28"/>
      <c r="FE107" s="28"/>
      <c r="FF107" s="28"/>
      <c r="FG107" s="28"/>
      <c r="FH107" s="28"/>
      <c r="FI107" s="28"/>
      <c r="FJ107" s="28"/>
      <c r="FK107" s="28"/>
      <c r="FL107" s="28"/>
      <c r="FM107" s="28"/>
      <c r="FN107" s="28"/>
      <c r="FO107" s="28"/>
      <c r="FP107" s="28"/>
      <c r="FQ107" s="28"/>
      <c r="FR107" s="28"/>
      <c r="FS107" s="28"/>
      <c r="FT107" s="28"/>
      <c r="FU107" s="28"/>
      <c r="FV107" s="28"/>
      <c r="FW107" s="28"/>
      <c r="FX107" s="28"/>
      <c r="FY107" s="28"/>
      <c r="FZ107" s="28"/>
      <c r="GA107" s="28"/>
      <c r="GB107" s="28"/>
      <c r="GC107" s="28"/>
      <c r="GD107" s="28"/>
      <c r="GE107" s="28"/>
      <c r="GF107" s="28"/>
      <c r="GG107" s="28"/>
      <c r="GH107" s="28"/>
      <c r="GI107" s="28"/>
      <c r="GJ107" s="28"/>
      <c r="GK107" s="28"/>
      <c r="GL107" s="28"/>
      <c r="GM107" s="28"/>
      <c r="GN107" s="28"/>
      <c r="GO107" s="28"/>
      <c r="GP107" s="28"/>
      <c r="GQ107" s="28"/>
      <c r="GR107" s="28"/>
      <c r="GS107" s="28"/>
      <c r="GT107" s="28"/>
      <c r="GU107" s="28"/>
      <c r="GV107" s="28"/>
      <c r="GW107" s="28"/>
      <c r="GX107" s="28"/>
      <c r="GY107" s="28"/>
      <c r="GZ107" s="28"/>
      <c r="HA107" s="28"/>
      <c r="HB107" s="28"/>
      <c r="HC107" s="28"/>
    </row>
    <row r="108" spans="1:211" s="56" customFormat="1" x14ac:dyDescent="0.25">
      <c r="A108" s="31" t="s">
        <v>111</v>
      </c>
      <c r="B108" s="57">
        <v>45154</v>
      </c>
      <c r="C108" s="58">
        <v>43</v>
      </c>
      <c r="D108" s="70">
        <v>6472.2</v>
      </c>
      <c r="E108" s="70">
        <v>5684.28</v>
      </c>
      <c r="F108" s="70">
        <v>40240.230000000003</v>
      </c>
      <c r="G108" s="70">
        <v>1744.69</v>
      </c>
      <c r="H108" s="70">
        <v>2110.5300000000002</v>
      </c>
      <c r="I108" s="70">
        <v>1069.33</v>
      </c>
      <c r="J108" s="70">
        <v>0</v>
      </c>
      <c r="K108" s="70">
        <v>4487.24</v>
      </c>
      <c r="L108" s="70">
        <v>1519.57</v>
      </c>
      <c r="M108" s="70">
        <v>581.72</v>
      </c>
      <c r="N108" s="70">
        <v>0</v>
      </c>
      <c r="O108" s="70">
        <v>8640</v>
      </c>
      <c r="P108" s="70">
        <v>731</v>
      </c>
      <c r="Q108" s="70">
        <v>10337.98</v>
      </c>
      <c r="R108" s="70">
        <v>14935.58</v>
      </c>
      <c r="S108" s="70">
        <v>8069.79</v>
      </c>
      <c r="T108" s="71">
        <f t="shared" si="5"/>
        <v>106624.14</v>
      </c>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c r="CD108" s="28"/>
      <c r="CE108" s="28"/>
      <c r="CF108" s="28"/>
      <c r="CG108" s="28"/>
      <c r="CH108" s="28"/>
      <c r="CI108" s="28"/>
      <c r="CJ108" s="28"/>
      <c r="CK108" s="28"/>
      <c r="CL108" s="28"/>
      <c r="CM108" s="28"/>
      <c r="CN108" s="28"/>
      <c r="CO108" s="28"/>
      <c r="CP108" s="28"/>
      <c r="CQ108" s="28"/>
      <c r="CR108" s="28"/>
      <c r="CS108" s="28"/>
      <c r="CT108" s="28"/>
      <c r="CU108" s="28"/>
      <c r="CV108" s="28"/>
      <c r="CW108" s="28"/>
      <c r="CX108" s="28"/>
      <c r="CY108" s="28"/>
      <c r="CZ108" s="28"/>
      <c r="DA108" s="28"/>
      <c r="DB108" s="28"/>
      <c r="DC108" s="28"/>
      <c r="DD108" s="28"/>
      <c r="DE108" s="28"/>
      <c r="DF108" s="28"/>
      <c r="DG108" s="28"/>
      <c r="DH108" s="28"/>
      <c r="DI108" s="28"/>
      <c r="DJ108" s="28"/>
      <c r="DK108" s="28"/>
      <c r="DL108" s="28"/>
      <c r="DM108" s="28"/>
      <c r="DN108" s="28"/>
      <c r="DO108" s="28"/>
      <c r="DP108" s="28"/>
      <c r="DQ108" s="28"/>
      <c r="DR108" s="28"/>
      <c r="DS108" s="28"/>
      <c r="DT108" s="28"/>
      <c r="DU108" s="28"/>
      <c r="DV108" s="28"/>
      <c r="DW108" s="28"/>
      <c r="DX108" s="28"/>
      <c r="DY108" s="28"/>
      <c r="DZ108" s="28"/>
      <c r="EA108" s="28"/>
      <c r="EB108" s="28"/>
      <c r="EC108" s="28"/>
      <c r="ED108" s="28"/>
      <c r="EE108" s="28"/>
      <c r="EF108" s="28"/>
      <c r="EG108" s="28"/>
      <c r="EH108" s="28"/>
      <c r="EI108" s="28"/>
      <c r="EJ108" s="28"/>
      <c r="EK108" s="28"/>
      <c r="EL108" s="28"/>
      <c r="EM108" s="28"/>
      <c r="EN108" s="28"/>
      <c r="EO108" s="28"/>
      <c r="EP108" s="28"/>
      <c r="EQ108" s="28"/>
      <c r="ER108" s="28"/>
      <c r="ES108" s="28"/>
      <c r="ET108" s="28"/>
      <c r="EU108" s="28"/>
      <c r="EV108" s="28"/>
      <c r="EW108" s="28"/>
      <c r="EX108" s="28"/>
      <c r="EY108" s="28"/>
      <c r="EZ108" s="28"/>
      <c r="FA108" s="28"/>
      <c r="FB108" s="28"/>
      <c r="FC108" s="28"/>
      <c r="FD108" s="28"/>
      <c r="FE108" s="28"/>
      <c r="FF108" s="28"/>
      <c r="FG108" s="28"/>
      <c r="FH108" s="28"/>
      <c r="FI108" s="28"/>
      <c r="FJ108" s="28"/>
      <c r="FK108" s="28"/>
      <c r="FL108" s="28"/>
      <c r="FM108" s="28"/>
      <c r="FN108" s="28"/>
      <c r="FO108" s="28"/>
      <c r="FP108" s="28"/>
      <c r="FQ108" s="28"/>
      <c r="FR108" s="28"/>
      <c r="FS108" s="28"/>
      <c r="FT108" s="28"/>
      <c r="FU108" s="28"/>
      <c r="FV108" s="28"/>
      <c r="FW108" s="28"/>
      <c r="FX108" s="28"/>
      <c r="FY108" s="28"/>
      <c r="FZ108" s="28"/>
      <c r="GA108" s="28"/>
      <c r="GB108" s="28"/>
      <c r="GC108" s="28"/>
      <c r="GD108" s="28"/>
      <c r="GE108" s="28"/>
      <c r="GF108" s="28"/>
      <c r="GG108" s="28"/>
      <c r="GH108" s="28"/>
      <c r="GI108" s="28"/>
      <c r="GJ108" s="28"/>
      <c r="GK108" s="28"/>
      <c r="GL108" s="28"/>
      <c r="GM108" s="28"/>
      <c r="GN108" s="28"/>
      <c r="GO108" s="28"/>
      <c r="GP108" s="28"/>
      <c r="GQ108" s="28"/>
      <c r="GR108" s="28"/>
      <c r="GS108" s="28"/>
      <c r="GT108" s="28"/>
      <c r="GU108" s="28"/>
      <c r="GV108" s="28"/>
      <c r="GW108" s="28"/>
      <c r="GX108" s="28"/>
      <c r="GY108" s="28"/>
      <c r="GZ108" s="28"/>
      <c r="HA108" s="28"/>
      <c r="HB108" s="28"/>
      <c r="HC108" s="28"/>
    </row>
    <row r="109" spans="1:211" s="56" customFormat="1" x14ac:dyDescent="0.25">
      <c r="A109" s="31" t="s">
        <v>112</v>
      </c>
      <c r="B109" s="57">
        <v>45188</v>
      </c>
      <c r="C109" s="58">
        <v>26</v>
      </c>
      <c r="D109" s="70">
        <v>2542.21</v>
      </c>
      <c r="E109" s="70">
        <v>2210.62</v>
      </c>
      <c r="F109" s="70">
        <v>12069.99</v>
      </c>
      <c r="G109" s="70">
        <v>1304.26</v>
      </c>
      <c r="H109" s="70">
        <v>0</v>
      </c>
      <c r="I109" s="70">
        <v>420.01</v>
      </c>
      <c r="J109" s="70">
        <v>0</v>
      </c>
      <c r="K109" s="70">
        <v>50</v>
      </c>
      <c r="L109" s="70">
        <v>0</v>
      </c>
      <c r="M109" s="70">
        <v>0</v>
      </c>
      <c r="N109" s="70">
        <v>795.82</v>
      </c>
      <c r="O109" s="70">
        <v>2744.36</v>
      </c>
      <c r="P109" s="70">
        <v>260</v>
      </c>
      <c r="Q109" s="70">
        <v>3383.9</v>
      </c>
      <c r="R109" s="70">
        <v>4555.34</v>
      </c>
      <c r="S109" s="70">
        <v>2667.67</v>
      </c>
      <c r="T109" s="71">
        <f t="shared" si="5"/>
        <v>33004.18</v>
      </c>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c r="BR109" s="28"/>
      <c r="BS109" s="28"/>
      <c r="BT109" s="28"/>
      <c r="BU109" s="28"/>
      <c r="BV109" s="28"/>
      <c r="BW109" s="28"/>
      <c r="BX109" s="28"/>
      <c r="BY109" s="28"/>
      <c r="BZ109" s="28"/>
      <c r="CA109" s="28"/>
      <c r="CB109" s="28"/>
      <c r="CC109" s="28"/>
      <c r="CD109" s="28"/>
      <c r="CE109" s="28"/>
      <c r="CF109" s="28"/>
      <c r="CG109" s="28"/>
      <c r="CH109" s="28"/>
      <c r="CI109" s="28"/>
      <c r="CJ109" s="28"/>
      <c r="CK109" s="28"/>
      <c r="CL109" s="28"/>
      <c r="CM109" s="28"/>
      <c r="CN109" s="28"/>
      <c r="CO109" s="28"/>
      <c r="CP109" s="28"/>
      <c r="CQ109" s="28"/>
      <c r="CR109" s="28"/>
      <c r="CS109" s="28"/>
      <c r="CT109" s="28"/>
      <c r="CU109" s="28"/>
      <c r="CV109" s="28"/>
      <c r="CW109" s="28"/>
      <c r="CX109" s="28"/>
      <c r="CY109" s="28"/>
      <c r="CZ109" s="28"/>
      <c r="DA109" s="28"/>
      <c r="DB109" s="28"/>
      <c r="DC109" s="28"/>
      <c r="DD109" s="28"/>
      <c r="DE109" s="28"/>
      <c r="DF109" s="28"/>
      <c r="DG109" s="28"/>
      <c r="DH109" s="28"/>
      <c r="DI109" s="28"/>
      <c r="DJ109" s="28"/>
      <c r="DK109" s="28"/>
      <c r="DL109" s="28"/>
      <c r="DM109" s="28"/>
      <c r="DN109" s="28"/>
      <c r="DO109" s="28"/>
      <c r="DP109" s="28"/>
      <c r="DQ109" s="28"/>
      <c r="DR109" s="28"/>
      <c r="DS109" s="28"/>
      <c r="DT109" s="28"/>
      <c r="DU109" s="28"/>
      <c r="DV109" s="28"/>
      <c r="DW109" s="28"/>
      <c r="DX109" s="28"/>
      <c r="DY109" s="28"/>
      <c r="DZ109" s="28"/>
      <c r="EA109" s="28"/>
      <c r="EB109" s="28"/>
      <c r="EC109" s="28"/>
      <c r="ED109" s="28"/>
      <c r="EE109" s="28"/>
      <c r="EF109" s="28"/>
      <c r="EG109" s="28"/>
      <c r="EH109" s="28"/>
      <c r="EI109" s="28"/>
      <c r="EJ109" s="28"/>
      <c r="EK109" s="28"/>
      <c r="EL109" s="28"/>
      <c r="EM109" s="28"/>
      <c r="EN109" s="28"/>
      <c r="EO109" s="28"/>
      <c r="EP109" s="28"/>
      <c r="EQ109" s="28"/>
      <c r="ER109" s="28"/>
      <c r="ES109" s="28"/>
      <c r="ET109" s="28"/>
      <c r="EU109" s="28"/>
      <c r="EV109" s="28"/>
      <c r="EW109" s="28"/>
      <c r="EX109" s="28"/>
      <c r="EY109" s="28"/>
      <c r="EZ109" s="28"/>
      <c r="FA109" s="28"/>
      <c r="FB109" s="28"/>
      <c r="FC109" s="28"/>
      <c r="FD109" s="28"/>
      <c r="FE109" s="28"/>
      <c r="FF109" s="28"/>
      <c r="FG109" s="28"/>
      <c r="FH109" s="28"/>
      <c r="FI109" s="28"/>
      <c r="FJ109" s="28"/>
      <c r="FK109" s="28"/>
      <c r="FL109" s="28"/>
      <c r="FM109" s="28"/>
      <c r="FN109" s="28"/>
      <c r="FO109" s="28"/>
      <c r="FP109" s="28"/>
      <c r="FQ109" s="28"/>
      <c r="FR109" s="28"/>
      <c r="FS109" s="28"/>
      <c r="FT109" s="28"/>
      <c r="FU109" s="28"/>
      <c r="FV109" s="28"/>
      <c r="FW109" s="28"/>
      <c r="FX109" s="28"/>
      <c r="FY109" s="28"/>
      <c r="FZ109" s="28"/>
      <c r="GA109" s="28"/>
      <c r="GB109" s="28"/>
      <c r="GC109" s="28"/>
      <c r="GD109" s="28"/>
      <c r="GE109" s="28"/>
      <c r="GF109" s="28"/>
      <c r="GG109" s="28"/>
      <c r="GH109" s="28"/>
      <c r="GI109" s="28"/>
      <c r="GJ109" s="28"/>
      <c r="GK109" s="28"/>
      <c r="GL109" s="28"/>
      <c r="GM109" s="28"/>
      <c r="GN109" s="28"/>
      <c r="GO109" s="28"/>
      <c r="GP109" s="28"/>
      <c r="GQ109" s="28"/>
      <c r="GR109" s="28"/>
      <c r="GS109" s="28"/>
      <c r="GT109" s="28"/>
      <c r="GU109" s="28"/>
      <c r="GV109" s="28"/>
      <c r="GW109" s="28"/>
      <c r="GX109" s="28"/>
      <c r="GY109" s="28"/>
      <c r="GZ109" s="28"/>
      <c r="HA109" s="28"/>
      <c r="HB109" s="28"/>
      <c r="HC109" s="28"/>
    </row>
    <row r="110" spans="1:211" s="67" customFormat="1" x14ac:dyDescent="0.25">
      <c r="A110" s="31" t="s">
        <v>113</v>
      </c>
      <c r="B110" s="57">
        <v>45195</v>
      </c>
      <c r="C110" s="58">
        <v>30</v>
      </c>
      <c r="D110" s="70">
        <v>3016.28</v>
      </c>
      <c r="E110" s="70">
        <v>1783.52</v>
      </c>
      <c r="F110" s="70">
        <v>15763.28</v>
      </c>
      <c r="G110" s="70">
        <v>1154.05</v>
      </c>
      <c r="H110" s="70">
        <v>1049.1400000000001</v>
      </c>
      <c r="I110" s="70">
        <v>899.65</v>
      </c>
      <c r="J110" s="70">
        <v>0</v>
      </c>
      <c r="K110" s="70">
        <v>1841</v>
      </c>
      <c r="L110" s="70"/>
      <c r="M110" s="70">
        <v>228.19</v>
      </c>
      <c r="N110" s="70">
        <v>0</v>
      </c>
      <c r="O110" s="70">
        <v>3754.44</v>
      </c>
      <c r="P110" s="70">
        <v>810</v>
      </c>
      <c r="Q110" s="70">
        <v>4500.45</v>
      </c>
      <c r="R110" s="70">
        <v>6080.94</v>
      </c>
      <c r="S110" s="70">
        <v>3475.48</v>
      </c>
      <c r="T110" s="71">
        <f t="shared" si="5"/>
        <v>44356.420000000006</v>
      </c>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c r="BO110" s="28"/>
      <c r="BP110" s="28"/>
      <c r="BQ110" s="28"/>
      <c r="BR110" s="28"/>
      <c r="BS110" s="28"/>
      <c r="BT110" s="28"/>
      <c r="BU110" s="28"/>
      <c r="BV110" s="28"/>
      <c r="BW110" s="28"/>
      <c r="BX110" s="28"/>
      <c r="BY110" s="28"/>
      <c r="BZ110" s="28"/>
      <c r="CA110" s="28"/>
      <c r="CB110" s="28"/>
      <c r="CC110" s="28"/>
      <c r="CD110" s="28"/>
      <c r="CE110" s="28"/>
      <c r="CF110" s="28"/>
      <c r="CG110" s="28"/>
      <c r="CH110" s="28"/>
      <c r="CI110" s="28"/>
      <c r="CJ110" s="28"/>
      <c r="CK110" s="28"/>
      <c r="CL110" s="28"/>
      <c r="CM110" s="28"/>
      <c r="CN110" s="28"/>
      <c r="CO110" s="28"/>
      <c r="CP110" s="28"/>
      <c r="CQ110" s="28"/>
      <c r="CR110" s="28"/>
      <c r="CS110" s="28"/>
      <c r="CT110" s="28"/>
      <c r="CU110" s="28"/>
      <c r="CV110" s="28"/>
      <c r="CW110" s="28"/>
      <c r="CX110" s="28"/>
      <c r="CY110" s="28"/>
      <c r="CZ110" s="28"/>
      <c r="DA110" s="28"/>
      <c r="DB110" s="28"/>
      <c r="DC110" s="28"/>
      <c r="DD110" s="28"/>
      <c r="DE110" s="28"/>
      <c r="DF110" s="28"/>
      <c r="DG110" s="28"/>
      <c r="DH110" s="28"/>
      <c r="DI110" s="28"/>
      <c r="DJ110" s="28"/>
      <c r="DK110" s="28"/>
      <c r="DL110" s="28"/>
      <c r="DM110" s="28"/>
      <c r="DN110" s="28"/>
      <c r="DO110" s="28"/>
      <c r="DP110" s="28"/>
      <c r="DQ110" s="28"/>
      <c r="DR110" s="28"/>
      <c r="DS110" s="28"/>
      <c r="DT110" s="28"/>
      <c r="DU110" s="28"/>
      <c r="DV110" s="28"/>
      <c r="DW110" s="28"/>
      <c r="DX110" s="28"/>
      <c r="DY110" s="28"/>
      <c r="DZ110" s="28"/>
      <c r="EA110" s="28"/>
      <c r="EB110" s="28"/>
      <c r="EC110" s="28"/>
      <c r="ED110" s="28"/>
      <c r="EE110" s="28"/>
      <c r="EF110" s="28"/>
      <c r="EG110" s="28"/>
      <c r="EH110" s="28"/>
      <c r="EI110" s="28"/>
      <c r="EJ110" s="28"/>
      <c r="EK110" s="28"/>
      <c r="EL110" s="28"/>
      <c r="EM110" s="28"/>
      <c r="EN110" s="28"/>
      <c r="EO110" s="28"/>
      <c r="EP110" s="28"/>
      <c r="EQ110" s="28"/>
      <c r="ER110" s="28"/>
      <c r="ES110" s="28"/>
      <c r="ET110" s="28"/>
      <c r="EU110" s="28"/>
      <c r="EV110" s="28"/>
      <c r="EW110" s="28"/>
      <c r="EX110" s="28"/>
      <c r="EY110" s="28"/>
      <c r="EZ110" s="28"/>
      <c r="FA110" s="28"/>
      <c r="FB110" s="28"/>
      <c r="FC110" s="28"/>
      <c r="FD110" s="28"/>
      <c r="FE110" s="28"/>
      <c r="FF110" s="28"/>
      <c r="FG110" s="28"/>
      <c r="FH110" s="28"/>
      <c r="FI110" s="28"/>
      <c r="FJ110" s="28"/>
      <c r="FK110" s="28"/>
      <c r="FL110" s="28"/>
      <c r="FM110" s="28"/>
      <c r="FN110" s="28"/>
      <c r="FO110" s="28"/>
      <c r="FP110" s="28"/>
      <c r="FQ110" s="28"/>
      <c r="FR110" s="28"/>
      <c r="FS110" s="28"/>
      <c r="FT110" s="28"/>
      <c r="FU110" s="28"/>
      <c r="FV110" s="28"/>
      <c r="FW110" s="28"/>
      <c r="FX110" s="28"/>
      <c r="FY110" s="28"/>
      <c r="FZ110" s="28"/>
      <c r="GA110" s="28"/>
      <c r="GB110" s="28"/>
      <c r="GC110" s="28"/>
      <c r="GD110" s="28"/>
      <c r="GE110" s="28"/>
      <c r="GF110" s="28"/>
      <c r="GG110" s="28"/>
      <c r="GH110" s="28"/>
      <c r="GI110" s="28"/>
      <c r="GJ110" s="28"/>
      <c r="GK110" s="28"/>
      <c r="GL110" s="28"/>
      <c r="GM110" s="28"/>
      <c r="GN110" s="28"/>
      <c r="GO110" s="28"/>
      <c r="GP110" s="28"/>
      <c r="GQ110" s="28"/>
      <c r="GR110" s="28"/>
      <c r="GS110" s="28"/>
      <c r="GT110" s="28"/>
      <c r="GU110" s="28"/>
      <c r="GV110" s="28"/>
      <c r="GW110" s="28"/>
      <c r="GX110" s="28"/>
      <c r="GY110" s="28"/>
      <c r="GZ110" s="28"/>
      <c r="HA110" s="28"/>
      <c r="HB110" s="28"/>
      <c r="HC110" s="28"/>
    </row>
    <row r="111" spans="1:211" s="67" customFormat="1" x14ac:dyDescent="0.25">
      <c r="A111" s="31" t="s">
        <v>114</v>
      </c>
      <c r="B111" s="57">
        <v>45161</v>
      </c>
      <c r="C111" s="58">
        <v>41</v>
      </c>
      <c r="D111" s="70">
        <v>3830.06</v>
      </c>
      <c r="E111" s="70">
        <v>2629.14</v>
      </c>
      <c r="F111" s="70">
        <v>11577.65</v>
      </c>
      <c r="G111" s="70">
        <v>2728.92</v>
      </c>
      <c r="H111" s="70">
        <v>0</v>
      </c>
      <c r="I111" s="70">
        <v>1464.3</v>
      </c>
      <c r="J111" s="70">
        <v>2562.5700000000002</v>
      </c>
      <c r="K111" s="70">
        <v>0</v>
      </c>
      <c r="L111" s="70">
        <v>0</v>
      </c>
      <c r="M111" s="70">
        <v>0</v>
      </c>
      <c r="N111" s="70">
        <v>0</v>
      </c>
      <c r="O111" s="70">
        <v>3349.99</v>
      </c>
      <c r="P111" s="70">
        <v>0</v>
      </c>
      <c r="Q111" s="70">
        <v>0</v>
      </c>
      <c r="R111" s="70">
        <v>5212.6099999999997</v>
      </c>
      <c r="S111" s="70">
        <v>0</v>
      </c>
      <c r="T111" s="71">
        <f t="shared" si="5"/>
        <v>33355.24</v>
      </c>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c r="BY111" s="28"/>
      <c r="BZ111" s="28"/>
      <c r="CA111" s="28"/>
      <c r="CB111" s="28"/>
      <c r="CC111" s="28"/>
      <c r="CD111" s="28"/>
      <c r="CE111" s="28"/>
      <c r="CF111" s="28"/>
      <c r="CG111" s="28"/>
      <c r="CH111" s="28"/>
      <c r="CI111" s="28"/>
      <c r="CJ111" s="28"/>
      <c r="CK111" s="28"/>
      <c r="CL111" s="28"/>
      <c r="CM111" s="28"/>
      <c r="CN111" s="28"/>
      <c r="CO111" s="28"/>
      <c r="CP111" s="28"/>
      <c r="CQ111" s="28"/>
      <c r="CR111" s="28"/>
      <c r="CS111" s="28"/>
      <c r="CT111" s="28"/>
      <c r="CU111" s="28"/>
      <c r="CV111" s="28"/>
      <c r="CW111" s="28"/>
      <c r="CX111" s="28"/>
      <c r="CY111" s="28"/>
      <c r="CZ111" s="28"/>
      <c r="DA111" s="28"/>
      <c r="DB111" s="28"/>
      <c r="DC111" s="28"/>
      <c r="DD111" s="28"/>
      <c r="DE111" s="28"/>
      <c r="DF111" s="28"/>
      <c r="DG111" s="28"/>
      <c r="DH111" s="28"/>
      <c r="DI111" s="28"/>
      <c r="DJ111" s="28"/>
      <c r="DK111" s="28"/>
      <c r="DL111" s="28"/>
      <c r="DM111" s="28"/>
      <c r="DN111" s="28"/>
      <c r="DO111" s="28"/>
      <c r="DP111" s="28"/>
      <c r="DQ111" s="28"/>
      <c r="DR111" s="28"/>
      <c r="DS111" s="28"/>
      <c r="DT111" s="28"/>
      <c r="DU111" s="28"/>
      <c r="DV111" s="28"/>
      <c r="DW111" s="28"/>
      <c r="DX111" s="28"/>
      <c r="DY111" s="28"/>
      <c r="DZ111" s="28"/>
      <c r="EA111" s="28"/>
      <c r="EB111" s="28"/>
      <c r="EC111" s="28"/>
      <c r="ED111" s="28"/>
      <c r="EE111" s="28"/>
      <c r="EF111" s="28"/>
      <c r="EG111" s="28"/>
      <c r="EH111" s="28"/>
      <c r="EI111" s="28"/>
      <c r="EJ111" s="28"/>
      <c r="EK111" s="28"/>
      <c r="EL111" s="28"/>
      <c r="EM111" s="28"/>
      <c r="EN111" s="28"/>
      <c r="EO111" s="28"/>
      <c r="EP111" s="28"/>
      <c r="EQ111" s="28"/>
      <c r="ER111" s="28"/>
      <c r="ES111" s="28"/>
      <c r="ET111" s="28"/>
      <c r="EU111" s="28"/>
      <c r="EV111" s="28"/>
      <c r="EW111" s="28"/>
      <c r="EX111" s="28"/>
      <c r="EY111" s="28"/>
      <c r="EZ111" s="28"/>
      <c r="FA111" s="28"/>
      <c r="FB111" s="28"/>
      <c r="FC111" s="28"/>
      <c r="FD111" s="28"/>
      <c r="FE111" s="28"/>
      <c r="FF111" s="28"/>
      <c r="FG111" s="28"/>
      <c r="FH111" s="28"/>
      <c r="FI111" s="28"/>
      <c r="FJ111" s="28"/>
      <c r="FK111" s="28"/>
      <c r="FL111" s="28"/>
      <c r="FM111" s="28"/>
      <c r="FN111" s="28"/>
      <c r="FO111" s="28"/>
      <c r="FP111" s="28"/>
      <c r="FQ111" s="28"/>
      <c r="FR111" s="28"/>
      <c r="FS111" s="28"/>
      <c r="FT111" s="28"/>
      <c r="FU111" s="28"/>
      <c r="FV111" s="28"/>
      <c r="FW111" s="28"/>
      <c r="FX111" s="28"/>
      <c r="FY111" s="28"/>
      <c r="FZ111" s="28"/>
      <c r="GA111" s="28"/>
      <c r="GB111" s="28"/>
      <c r="GC111" s="28"/>
      <c r="GD111" s="28"/>
      <c r="GE111" s="28"/>
      <c r="GF111" s="28"/>
      <c r="GG111" s="28"/>
      <c r="GH111" s="28"/>
      <c r="GI111" s="28"/>
      <c r="GJ111" s="28"/>
      <c r="GK111" s="28"/>
      <c r="GL111" s="28"/>
      <c r="GM111" s="28"/>
      <c r="GN111" s="28"/>
      <c r="GO111" s="28"/>
      <c r="GP111" s="28"/>
      <c r="GQ111" s="28"/>
      <c r="GR111" s="28"/>
      <c r="GS111" s="28"/>
      <c r="GT111" s="28"/>
      <c r="GU111" s="28"/>
      <c r="GV111" s="28"/>
      <c r="GW111" s="28"/>
      <c r="GX111" s="28"/>
      <c r="GY111" s="28"/>
      <c r="GZ111" s="28"/>
      <c r="HA111" s="28"/>
      <c r="HB111" s="28"/>
      <c r="HC111" s="28"/>
    </row>
    <row r="112" spans="1:211" s="56" customFormat="1" x14ac:dyDescent="0.25">
      <c r="A112" s="31" t="s">
        <v>115</v>
      </c>
      <c r="B112" s="57">
        <v>45176</v>
      </c>
      <c r="C112" s="58">
        <v>20</v>
      </c>
      <c r="D112" s="70">
        <v>1126.69</v>
      </c>
      <c r="E112" s="70">
        <v>969.94</v>
      </c>
      <c r="F112" s="70">
        <v>4467.6099999999997</v>
      </c>
      <c r="G112" s="70">
        <v>636.6</v>
      </c>
      <c r="H112" s="70">
        <v>421.31</v>
      </c>
      <c r="I112" s="70">
        <v>372.32</v>
      </c>
      <c r="J112" s="70">
        <v>0</v>
      </c>
      <c r="K112" s="70">
        <v>1.03</v>
      </c>
      <c r="L112" s="70">
        <v>28.69</v>
      </c>
      <c r="M112" s="28">
        <v>97.98</v>
      </c>
      <c r="N112" s="70">
        <v>0</v>
      </c>
      <c r="O112" s="70">
        <v>1031.32</v>
      </c>
      <c r="P112" s="70">
        <v>40</v>
      </c>
      <c r="Q112" s="70"/>
      <c r="R112" s="70">
        <v>1624.5</v>
      </c>
      <c r="S112" s="70">
        <v>1112.23</v>
      </c>
      <c r="T112" s="83">
        <f t="shared" si="5"/>
        <v>11930.22</v>
      </c>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28"/>
      <c r="BQ112" s="28"/>
      <c r="BR112" s="28"/>
      <c r="BS112" s="28"/>
      <c r="BT112" s="28"/>
      <c r="BU112" s="28"/>
      <c r="BV112" s="28"/>
      <c r="BW112" s="28"/>
      <c r="BX112" s="28"/>
      <c r="BY112" s="28"/>
      <c r="BZ112" s="28"/>
      <c r="CA112" s="28"/>
      <c r="CB112" s="28"/>
      <c r="CC112" s="28"/>
      <c r="CD112" s="28"/>
      <c r="CE112" s="28"/>
      <c r="CF112" s="28"/>
      <c r="CG112" s="28"/>
      <c r="CH112" s="28"/>
      <c r="CI112" s="28"/>
      <c r="CJ112" s="28"/>
      <c r="CK112" s="28"/>
      <c r="CL112" s="28"/>
      <c r="CM112" s="28"/>
      <c r="CN112" s="28"/>
      <c r="CO112" s="28"/>
      <c r="CP112" s="28"/>
      <c r="CQ112" s="28"/>
      <c r="CR112" s="28"/>
      <c r="CS112" s="28"/>
      <c r="CT112" s="28"/>
      <c r="CU112" s="28"/>
      <c r="CV112" s="28"/>
      <c r="CW112" s="28"/>
      <c r="CX112" s="28"/>
      <c r="CY112" s="28"/>
      <c r="CZ112" s="28"/>
      <c r="DA112" s="28"/>
      <c r="DB112" s="28"/>
      <c r="DC112" s="28"/>
      <c r="DD112" s="28"/>
      <c r="DE112" s="28"/>
      <c r="DF112" s="28"/>
      <c r="DG112" s="28"/>
      <c r="DH112" s="28"/>
      <c r="DI112" s="28"/>
      <c r="DJ112" s="28"/>
      <c r="DK112" s="28"/>
      <c r="DL112" s="28"/>
      <c r="DM112" s="28"/>
      <c r="DN112" s="28"/>
      <c r="DO112" s="28"/>
      <c r="DP112" s="28"/>
      <c r="DQ112" s="28"/>
      <c r="DR112" s="28"/>
      <c r="DS112" s="28"/>
      <c r="DT112" s="28"/>
      <c r="DU112" s="28"/>
      <c r="DV112" s="28"/>
      <c r="DW112" s="28"/>
      <c r="DX112" s="28"/>
      <c r="DY112" s="28"/>
      <c r="DZ112" s="28"/>
      <c r="EA112" s="28"/>
      <c r="EB112" s="28"/>
      <c r="EC112" s="28"/>
      <c r="ED112" s="28"/>
      <c r="EE112" s="28"/>
      <c r="EF112" s="28"/>
      <c r="EG112" s="28"/>
      <c r="EH112" s="28"/>
      <c r="EI112" s="28"/>
      <c r="EJ112" s="28"/>
      <c r="EK112" s="28"/>
      <c r="EL112" s="28"/>
      <c r="EM112" s="28"/>
      <c r="EN112" s="28"/>
      <c r="EO112" s="28"/>
      <c r="EP112" s="28"/>
      <c r="EQ112" s="28"/>
      <c r="ER112" s="28"/>
      <c r="ES112" s="28"/>
      <c r="ET112" s="28"/>
      <c r="EU112" s="28"/>
      <c r="EV112" s="28"/>
      <c r="EW112" s="28"/>
      <c r="EX112" s="28"/>
      <c r="EY112" s="28"/>
      <c r="EZ112" s="28"/>
      <c r="FA112" s="28"/>
      <c r="FB112" s="28"/>
      <c r="FC112" s="28"/>
      <c r="FD112" s="28"/>
      <c r="FE112" s="28"/>
      <c r="FF112" s="28"/>
      <c r="FG112" s="28"/>
      <c r="FH112" s="28"/>
      <c r="FI112" s="28"/>
      <c r="FJ112" s="28"/>
      <c r="FK112" s="28"/>
      <c r="FL112" s="28"/>
      <c r="FM112" s="28"/>
      <c r="FN112" s="28"/>
      <c r="FO112" s="28"/>
      <c r="FP112" s="28"/>
      <c r="FQ112" s="28"/>
      <c r="FR112" s="28"/>
      <c r="FS112" s="28"/>
      <c r="FT112" s="28"/>
      <c r="FU112" s="28"/>
      <c r="FV112" s="28"/>
      <c r="FW112" s="28"/>
      <c r="FX112" s="28"/>
      <c r="FY112" s="28"/>
      <c r="FZ112" s="28"/>
      <c r="GA112" s="28"/>
      <c r="GB112" s="28"/>
      <c r="GC112" s="28"/>
      <c r="GD112" s="28"/>
      <c r="GE112" s="28"/>
      <c r="GF112" s="28"/>
      <c r="GG112" s="28"/>
      <c r="GH112" s="28"/>
      <c r="GI112" s="28"/>
      <c r="GJ112" s="28"/>
      <c r="GK112" s="28"/>
      <c r="GL112" s="28"/>
      <c r="GM112" s="28"/>
      <c r="GN112" s="28"/>
      <c r="GO112" s="28"/>
      <c r="GP112" s="28"/>
      <c r="GQ112" s="28"/>
      <c r="GR112" s="28"/>
      <c r="GS112" s="28"/>
      <c r="GT112" s="28"/>
      <c r="GU112" s="28"/>
      <c r="GV112" s="28"/>
      <c r="GW112" s="28"/>
      <c r="GX112" s="28"/>
      <c r="GY112" s="28"/>
      <c r="GZ112" s="28"/>
      <c r="HA112" s="28"/>
      <c r="HB112" s="28"/>
      <c r="HC112" s="28"/>
    </row>
    <row r="113" spans="1:211" s="56" customFormat="1" x14ac:dyDescent="0.25">
      <c r="A113" s="31" t="s">
        <v>116</v>
      </c>
      <c r="B113" s="57">
        <v>45125</v>
      </c>
      <c r="C113" s="58">
        <v>101</v>
      </c>
      <c r="D113" s="70">
        <v>2463.33</v>
      </c>
      <c r="E113" s="70">
        <v>1713.54</v>
      </c>
      <c r="F113" s="70">
        <v>11759.19</v>
      </c>
      <c r="G113" s="70">
        <v>1049.6199999999999</v>
      </c>
      <c r="H113" s="70">
        <v>0</v>
      </c>
      <c r="I113" s="70">
        <v>0</v>
      </c>
      <c r="J113" s="70">
        <v>1927.73</v>
      </c>
      <c r="K113" s="70"/>
      <c r="L113" s="70">
        <v>0</v>
      </c>
      <c r="M113" s="70"/>
      <c r="N113" s="70">
        <v>1927.73</v>
      </c>
      <c r="O113" s="70">
        <v>3403.4</v>
      </c>
      <c r="P113" s="70">
        <v>1440</v>
      </c>
      <c r="Q113" s="70">
        <v>3344.69</v>
      </c>
      <c r="R113" s="70">
        <v>5125.17</v>
      </c>
      <c r="S113" s="70">
        <v>6602.64</v>
      </c>
      <c r="T113" s="71">
        <f t="shared" si="5"/>
        <v>40757.040000000001</v>
      </c>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c r="BO113" s="28"/>
      <c r="BP113" s="28"/>
      <c r="BQ113" s="28"/>
      <c r="BR113" s="28"/>
      <c r="BS113" s="28"/>
      <c r="BT113" s="28"/>
      <c r="BU113" s="28"/>
      <c r="BV113" s="28"/>
      <c r="BW113" s="28"/>
      <c r="BX113" s="28"/>
      <c r="BY113" s="28"/>
      <c r="BZ113" s="28"/>
      <c r="CA113" s="28"/>
      <c r="CB113" s="28"/>
      <c r="CC113" s="28"/>
      <c r="CD113" s="28"/>
      <c r="CE113" s="28"/>
      <c r="CF113" s="28"/>
      <c r="CG113" s="28"/>
      <c r="CH113" s="28"/>
      <c r="CI113" s="28"/>
      <c r="CJ113" s="28"/>
      <c r="CK113" s="28"/>
      <c r="CL113" s="28"/>
      <c r="CM113" s="28"/>
      <c r="CN113" s="28"/>
      <c r="CO113" s="28"/>
      <c r="CP113" s="28"/>
      <c r="CQ113" s="28"/>
      <c r="CR113" s="28"/>
      <c r="CS113" s="28"/>
      <c r="CT113" s="28"/>
      <c r="CU113" s="28"/>
      <c r="CV113" s="28"/>
      <c r="CW113" s="28"/>
      <c r="CX113" s="28"/>
      <c r="CY113" s="28"/>
      <c r="CZ113" s="28"/>
      <c r="DA113" s="28"/>
      <c r="DB113" s="28"/>
      <c r="DC113" s="28"/>
      <c r="DD113" s="28"/>
      <c r="DE113" s="28"/>
      <c r="DF113" s="28"/>
      <c r="DG113" s="28"/>
      <c r="DH113" s="28"/>
      <c r="DI113" s="28"/>
      <c r="DJ113" s="28"/>
      <c r="DK113" s="28"/>
      <c r="DL113" s="28"/>
      <c r="DM113" s="28"/>
      <c r="DN113" s="28"/>
      <c r="DO113" s="28"/>
      <c r="DP113" s="28"/>
      <c r="DQ113" s="28"/>
      <c r="DR113" s="28"/>
      <c r="DS113" s="28"/>
      <c r="DT113" s="28"/>
      <c r="DU113" s="28"/>
      <c r="DV113" s="28"/>
      <c r="DW113" s="28"/>
      <c r="DX113" s="28"/>
      <c r="DY113" s="28"/>
      <c r="DZ113" s="28"/>
      <c r="EA113" s="28"/>
      <c r="EB113" s="28"/>
      <c r="EC113" s="28"/>
      <c r="ED113" s="28"/>
      <c r="EE113" s="28"/>
      <c r="EF113" s="28"/>
      <c r="EG113" s="28"/>
      <c r="EH113" s="28"/>
      <c r="EI113" s="28"/>
      <c r="EJ113" s="28"/>
      <c r="EK113" s="28"/>
      <c r="EL113" s="28"/>
      <c r="EM113" s="28"/>
      <c r="EN113" s="28"/>
      <c r="EO113" s="28"/>
      <c r="EP113" s="28"/>
      <c r="EQ113" s="28"/>
      <c r="ER113" s="28"/>
      <c r="ES113" s="28"/>
      <c r="ET113" s="28"/>
      <c r="EU113" s="28"/>
      <c r="EV113" s="28"/>
      <c r="EW113" s="28"/>
      <c r="EX113" s="28"/>
      <c r="EY113" s="28"/>
      <c r="EZ113" s="28"/>
      <c r="FA113" s="28"/>
      <c r="FB113" s="28"/>
      <c r="FC113" s="28"/>
      <c r="FD113" s="28"/>
      <c r="FE113" s="28"/>
      <c r="FF113" s="28"/>
      <c r="FG113" s="28"/>
      <c r="FH113" s="28"/>
      <c r="FI113" s="28"/>
      <c r="FJ113" s="28"/>
      <c r="FK113" s="28"/>
      <c r="FL113" s="28"/>
      <c r="FM113" s="28"/>
      <c r="FN113" s="28"/>
      <c r="FO113" s="28"/>
      <c r="FP113" s="28"/>
      <c r="FQ113" s="28"/>
      <c r="FR113" s="28"/>
      <c r="FS113" s="28"/>
      <c r="FT113" s="28"/>
      <c r="FU113" s="28"/>
      <c r="FV113" s="28"/>
      <c r="FW113" s="28"/>
      <c r="FX113" s="28"/>
      <c r="FY113" s="28"/>
      <c r="FZ113" s="28"/>
      <c r="GA113" s="28"/>
      <c r="GB113" s="28"/>
      <c r="GC113" s="28"/>
      <c r="GD113" s="28"/>
      <c r="GE113" s="28"/>
      <c r="GF113" s="28"/>
      <c r="GG113" s="28"/>
      <c r="GH113" s="28"/>
      <c r="GI113" s="28"/>
      <c r="GJ113" s="28"/>
      <c r="GK113" s="28"/>
      <c r="GL113" s="28"/>
      <c r="GM113" s="28"/>
      <c r="GN113" s="28"/>
      <c r="GO113" s="28"/>
      <c r="GP113" s="28"/>
      <c r="GQ113" s="28"/>
      <c r="GR113" s="28"/>
      <c r="GS113" s="28"/>
      <c r="GT113" s="28"/>
      <c r="GU113" s="28"/>
      <c r="GV113" s="28"/>
      <c r="GW113" s="28"/>
      <c r="GX113" s="28"/>
      <c r="GY113" s="28"/>
      <c r="GZ113" s="28"/>
      <c r="HA113" s="28"/>
      <c r="HB113" s="28"/>
      <c r="HC113" s="28"/>
    </row>
    <row r="114" spans="1:211" s="56" customFormat="1" x14ac:dyDescent="0.25">
      <c r="A114" s="31" t="s">
        <v>117</v>
      </c>
      <c r="B114" s="57">
        <v>45125</v>
      </c>
      <c r="C114" s="58">
        <v>25</v>
      </c>
      <c r="D114" s="70">
        <v>1328.71</v>
      </c>
      <c r="E114" s="70">
        <v>889.68</v>
      </c>
      <c r="F114" s="70">
        <v>8723.27</v>
      </c>
      <c r="G114" s="70">
        <v>1247.83</v>
      </c>
      <c r="H114" s="70">
        <v>462.16</v>
      </c>
      <c r="I114" s="70">
        <v>508.37</v>
      </c>
      <c r="J114" s="70">
        <v>0</v>
      </c>
      <c r="K114" s="70">
        <v>0</v>
      </c>
      <c r="L114" s="70">
        <v>2.46</v>
      </c>
      <c r="M114" s="70">
        <v>29.23</v>
      </c>
      <c r="N114" s="70">
        <v>0</v>
      </c>
      <c r="O114" s="70">
        <v>2043.82</v>
      </c>
      <c r="P114" s="70">
        <v>250</v>
      </c>
      <c r="Q114" s="70">
        <v>1981.38</v>
      </c>
      <c r="R114" s="70">
        <v>3034.6</v>
      </c>
      <c r="S114" s="72">
        <v>1892.28</v>
      </c>
      <c r="T114" s="83">
        <f t="shared" si="5"/>
        <v>22393.789999999997</v>
      </c>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c r="BS114" s="28"/>
      <c r="BT114" s="28"/>
      <c r="BU114" s="28"/>
      <c r="BV114" s="28"/>
      <c r="BW114" s="28"/>
      <c r="BX114" s="28"/>
      <c r="BY114" s="28"/>
      <c r="BZ114" s="28"/>
      <c r="CA114" s="28"/>
      <c r="CB114" s="28"/>
      <c r="CC114" s="28"/>
      <c r="CD114" s="28"/>
      <c r="CE114" s="28"/>
      <c r="CF114" s="28"/>
      <c r="CG114" s="28"/>
      <c r="CH114" s="28"/>
      <c r="CI114" s="28"/>
      <c r="CJ114" s="28"/>
      <c r="CK114" s="28"/>
      <c r="CL114" s="28"/>
      <c r="CM114" s="28"/>
      <c r="CN114" s="28"/>
      <c r="CO114" s="28"/>
      <c r="CP114" s="28"/>
      <c r="CQ114" s="28"/>
      <c r="CR114" s="28"/>
      <c r="CS114" s="28"/>
      <c r="CT114" s="28"/>
      <c r="CU114" s="28"/>
      <c r="CV114" s="28"/>
      <c r="CW114" s="28"/>
      <c r="CX114" s="28"/>
      <c r="CY114" s="28"/>
      <c r="CZ114" s="28"/>
      <c r="DA114" s="28"/>
      <c r="DB114" s="28"/>
      <c r="DC114" s="28"/>
      <c r="DD114" s="28"/>
      <c r="DE114" s="28"/>
      <c r="DF114" s="28"/>
      <c r="DG114" s="28"/>
      <c r="DH114" s="28"/>
      <c r="DI114" s="28"/>
      <c r="DJ114" s="28"/>
      <c r="DK114" s="28"/>
      <c r="DL114" s="28"/>
      <c r="DM114" s="28"/>
      <c r="DN114" s="28"/>
      <c r="DO114" s="28"/>
      <c r="DP114" s="28"/>
      <c r="DQ114" s="28"/>
      <c r="DR114" s="28"/>
      <c r="DS114" s="28"/>
      <c r="DT114" s="28"/>
      <c r="DU114" s="28"/>
      <c r="DV114" s="28"/>
      <c r="DW114" s="28"/>
      <c r="DX114" s="28"/>
      <c r="DY114" s="28"/>
      <c r="DZ114" s="28"/>
      <c r="EA114" s="28"/>
      <c r="EB114" s="28"/>
      <c r="EC114" s="28"/>
      <c r="ED114" s="28"/>
      <c r="EE114" s="28"/>
      <c r="EF114" s="28"/>
      <c r="EG114" s="28"/>
      <c r="EH114" s="28"/>
      <c r="EI114" s="28"/>
      <c r="EJ114" s="28"/>
      <c r="EK114" s="28"/>
      <c r="EL114" s="28"/>
      <c r="EM114" s="28"/>
      <c r="EN114" s="28"/>
      <c r="EO114" s="28"/>
      <c r="EP114" s="28"/>
      <c r="EQ114" s="28"/>
      <c r="ER114" s="28"/>
      <c r="ES114" s="28"/>
      <c r="ET114" s="28"/>
      <c r="EU114" s="28"/>
      <c r="EV114" s="28"/>
      <c r="EW114" s="28"/>
      <c r="EX114" s="28"/>
      <c r="EY114" s="28"/>
      <c r="EZ114" s="28"/>
      <c r="FA114" s="28"/>
      <c r="FB114" s="28"/>
      <c r="FC114" s="28"/>
      <c r="FD114" s="28"/>
      <c r="FE114" s="28"/>
      <c r="FF114" s="28"/>
      <c r="FG114" s="28"/>
      <c r="FH114" s="28"/>
      <c r="FI114" s="28"/>
      <c r="FJ114" s="28"/>
      <c r="FK114" s="28"/>
      <c r="FL114" s="28"/>
      <c r="FM114" s="28"/>
      <c r="FN114" s="28"/>
      <c r="FO114" s="28"/>
      <c r="FP114" s="28"/>
      <c r="FQ114" s="28"/>
      <c r="FR114" s="28"/>
      <c r="FS114" s="28"/>
      <c r="FT114" s="28"/>
      <c r="FU114" s="28"/>
      <c r="FV114" s="28"/>
      <c r="FW114" s="28"/>
      <c r="FX114" s="28"/>
      <c r="FY114" s="28"/>
      <c r="FZ114" s="28"/>
      <c r="GA114" s="28"/>
      <c r="GB114" s="28"/>
      <c r="GC114" s="28"/>
      <c r="GD114" s="28"/>
      <c r="GE114" s="28"/>
      <c r="GF114" s="28"/>
      <c r="GG114" s="28"/>
      <c r="GH114" s="28"/>
      <c r="GI114" s="28"/>
      <c r="GJ114" s="28"/>
      <c r="GK114" s="28"/>
      <c r="GL114" s="28"/>
      <c r="GM114" s="28"/>
      <c r="GN114" s="28"/>
      <c r="GO114" s="28"/>
      <c r="GP114" s="28"/>
      <c r="GQ114" s="28"/>
      <c r="GR114" s="28"/>
      <c r="GS114" s="28"/>
      <c r="GT114" s="28"/>
      <c r="GU114" s="28"/>
      <c r="GV114" s="28"/>
      <c r="GW114" s="28"/>
      <c r="GX114" s="28"/>
      <c r="GY114" s="28"/>
      <c r="GZ114" s="28"/>
      <c r="HA114" s="28"/>
      <c r="HB114" s="28"/>
      <c r="HC114" s="28"/>
    </row>
    <row r="115" spans="1:211" s="56" customFormat="1" x14ac:dyDescent="0.25">
      <c r="A115" s="31" t="s">
        <v>118</v>
      </c>
      <c r="B115" s="57">
        <v>45188</v>
      </c>
      <c r="C115" s="58">
        <v>33</v>
      </c>
      <c r="D115" s="70">
        <v>1714.42</v>
      </c>
      <c r="E115" s="70">
        <v>1475.93</v>
      </c>
      <c r="F115" s="70">
        <v>10659.38</v>
      </c>
      <c r="G115" s="70">
        <v>819.94</v>
      </c>
      <c r="H115" s="70">
        <v>782.69</v>
      </c>
      <c r="I115" s="70">
        <v>335.45</v>
      </c>
      <c r="J115" s="70">
        <v>0</v>
      </c>
      <c r="K115" s="70">
        <v>0</v>
      </c>
      <c r="L115" s="70"/>
      <c r="M115" s="70">
        <v>58.92</v>
      </c>
      <c r="N115" s="70">
        <v>0</v>
      </c>
      <c r="O115" s="70">
        <v>2161.5500000000002</v>
      </c>
      <c r="P115" s="70">
        <v>198</v>
      </c>
      <c r="Q115" s="70">
        <v>2760.29</v>
      </c>
      <c r="R115" s="70">
        <v>3721.4</v>
      </c>
      <c r="S115" s="70">
        <v>2355.67</v>
      </c>
      <c r="T115" s="71">
        <f t="shared" si="5"/>
        <v>27043.640000000007</v>
      </c>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28"/>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28"/>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8"/>
      <c r="EZ115" s="28"/>
      <c r="FA115" s="28"/>
      <c r="FB115" s="28"/>
      <c r="FC115" s="28"/>
      <c r="FD115" s="28"/>
      <c r="FE115" s="28"/>
      <c r="FF115" s="28"/>
      <c r="FG115" s="28"/>
      <c r="FH115" s="28"/>
      <c r="FI115" s="28"/>
      <c r="FJ115" s="28"/>
      <c r="FK115" s="28"/>
      <c r="FL115" s="28"/>
      <c r="FM115" s="28"/>
      <c r="FN115" s="28"/>
      <c r="FO115" s="28"/>
      <c r="FP115" s="28"/>
      <c r="FQ115" s="28"/>
      <c r="FR115" s="28"/>
      <c r="FS115" s="28"/>
      <c r="FT115" s="28"/>
      <c r="FU115" s="28"/>
      <c r="FV115" s="28"/>
      <c r="FW115" s="28"/>
      <c r="FX115" s="28"/>
      <c r="FY115" s="28"/>
      <c r="FZ115" s="28"/>
      <c r="GA115" s="28"/>
      <c r="GB115" s="28"/>
      <c r="GC115" s="28"/>
      <c r="GD115" s="28"/>
      <c r="GE115" s="28"/>
      <c r="GF115" s="28"/>
      <c r="GG115" s="28"/>
      <c r="GH115" s="28"/>
      <c r="GI115" s="28"/>
      <c r="GJ115" s="28"/>
      <c r="GK115" s="28"/>
      <c r="GL115" s="28"/>
      <c r="GM115" s="28"/>
      <c r="GN115" s="28"/>
      <c r="GO115" s="28"/>
      <c r="GP115" s="28"/>
      <c r="GQ115" s="28"/>
      <c r="GR115" s="28"/>
      <c r="GS115" s="28"/>
      <c r="GT115" s="28"/>
      <c r="GU115" s="28"/>
      <c r="GV115" s="28"/>
      <c r="GW115" s="28"/>
      <c r="GX115" s="28"/>
      <c r="GY115" s="28"/>
      <c r="GZ115" s="28"/>
      <c r="HA115" s="28"/>
      <c r="HB115" s="28"/>
      <c r="HC115" s="28"/>
    </row>
    <row r="116" spans="1:211" s="56" customFormat="1" x14ac:dyDescent="0.25">
      <c r="A116" s="31" t="s">
        <v>119</v>
      </c>
      <c r="B116" s="57">
        <v>45155</v>
      </c>
      <c r="C116" s="58">
        <v>153</v>
      </c>
      <c r="D116" s="70">
        <v>23066.49</v>
      </c>
      <c r="E116" s="70">
        <v>29083.86</v>
      </c>
      <c r="F116" s="70">
        <v>64078.720000000001</v>
      </c>
      <c r="G116" s="70">
        <v>7822.53</v>
      </c>
      <c r="H116" s="70">
        <v>5816.77</v>
      </c>
      <c r="I116" s="70">
        <v>1203.45</v>
      </c>
      <c r="J116" s="70"/>
      <c r="K116" s="70">
        <v>3210</v>
      </c>
      <c r="L116" s="70"/>
      <c r="M116" s="70">
        <v>2094.81</v>
      </c>
      <c r="N116" s="70"/>
      <c r="O116" s="70">
        <v>19676.41</v>
      </c>
      <c r="P116" s="70">
        <v>5508</v>
      </c>
      <c r="Q116" s="70">
        <v>22122.22</v>
      </c>
      <c r="R116" s="70">
        <v>32005.77</v>
      </c>
      <c r="S116" s="70">
        <v>18144.78</v>
      </c>
      <c r="T116" s="71">
        <f t="shared" si="5"/>
        <v>233833.81</v>
      </c>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c r="BR116" s="28"/>
      <c r="BS116" s="28"/>
      <c r="BT116" s="28"/>
      <c r="BU116" s="28"/>
      <c r="BV116" s="28"/>
      <c r="BW116" s="28"/>
      <c r="BX116" s="28"/>
      <c r="BY116" s="28"/>
      <c r="BZ116" s="28"/>
      <c r="CA116" s="28"/>
      <c r="CB116" s="28"/>
      <c r="CC116" s="28"/>
      <c r="CD116" s="28"/>
      <c r="CE116" s="28"/>
      <c r="CF116" s="28"/>
      <c r="CG116" s="28"/>
      <c r="CH116" s="28"/>
      <c r="CI116" s="28"/>
      <c r="CJ116" s="28"/>
      <c r="CK116" s="28"/>
      <c r="CL116" s="28"/>
      <c r="CM116" s="28"/>
      <c r="CN116" s="28"/>
      <c r="CO116" s="28"/>
      <c r="CP116" s="28"/>
      <c r="CQ116" s="28"/>
      <c r="CR116" s="28"/>
      <c r="CS116" s="28"/>
      <c r="CT116" s="28"/>
      <c r="CU116" s="28"/>
      <c r="CV116" s="28"/>
      <c r="CW116" s="28"/>
      <c r="CX116" s="28"/>
      <c r="CY116" s="28"/>
      <c r="CZ116" s="28"/>
      <c r="DA116" s="28"/>
      <c r="DB116" s="28"/>
      <c r="DC116" s="28"/>
      <c r="DD116" s="28"/>
      <c r="DE116" s="28"/>
      <c r="DF116" s="28"/>
      <c r="DG116" s="28"/>
      <c r="DH116" s="28"/>
      <c r="DI116" s="28"/>
      <c r="DJ116" s="28"/>
      <c r="DK116" s="28"/>
      <c r="DL116" s="28"/>
      <c r="DM116" s="28"/>
      <c r="DN116" s="28"/>
      <c r="DO116" s="28"/>
      <c r="DP116" s="28"/>
      <c r="DQ116" s="28"/>
      <c r="DR116" s="28"/>
      <c r="DS116" s="28"/>
      <c r="DT116" s="28"/>
      <c r="DU116" s="28"/>
      <c r="DV116" s="28"/>
      <c r="DW116" s="28"/>
      <c r="DX116" s="28"/>
      <c r="DY116" s="28"/>
      <c r="DZ116" s="28"/>
      <c r="EA116" s="28"/>
      <c r="EB116" s="28"/>
      <c r="EC116" s="28"/>
      <c r="ED116" s="28"/>
      <c r="EE116" s="28"/>
      <c r="EF116" s="28"/>
      <c r="EG116" s="28"/>
      <c r="EH116" s="28"/>
      <c r="EI116" s="28"/>
      <c r="EJ116" s="28"/>
      <c r="EK116" s="28"/>
      <c r="EL116" s="28"/>
      <c r="EM116" s="28"/>
      <c r="EN116" s="28"/>
      <c r="EO116" s="28"/>
      <c r="EP116" s="28"/>
      <c r="EQ116" s="28"/>
      <c r="ER116" s="28"/>
      <c r="ES116" s="28"/>
      <c r="ET116" s="28"/>
      <c r="EU116" s="28"/>
      <c r="EV116" s="28"/>
      <c r="EW116" s="28"/>
      <c r="EX116" s="28"/>
      <c r="EY116" s="28"/>
      <c r="EZ116" s="28"/>
      <c r="FA116" s="28"/>
      <c r="FB116" s="28"/>
      <c r="FC116" s="28"/>
      <c r="FD116" s="28"/>
      <c r="FE116" s="28"/>
      <c r="FF116" s="28"/>
      <c r="FG116" s="28"/>
      <c r="FH116" s="28"/>
      <c r="FI116" s="28"/>
      <c r="FJ116" s="28"/>
      <c r="FK116" s="28"/>
      <c r="FL116" s="28"/>
      <c r="FM116" s="28"/>
      <c r="FN116" s="28"/>
      <c r="FO116" s="28"/>
      <c r="FP116" s="28"/>
      <c r="FQ116" s="28"/>
      <c r="FR116" s="28"/>
      <c r="FS116" s="28"/>
      <c r="FT116" s="28"/>
      <c r="FU116" s="28"/>
      <c r="FV116" s="28"/>
      <c r="FW116" s="28"/>
      <c r="FX116" s="28"/>
      <c r="FY116" s="28"/>
      <c r="FZ116" s="28"/>
      <c r="GA116" s="28"/>
      <c r="GB116" s="28"/>
      <c r="GC116" s="28"/>
      <c r="GD116" s="28"/>
      <c r="GE116" s="28"/>
      <c r="GF116" s="28"/>
      <c r="GG116" s="28"/>
      <c r="GH116" s="28"/>
      <c r="GI116" s="28"/>
      <c r="GJ116" s="28"/>
      <c r="GK116" s="28"/>
      <c r="GL116" s="28"/>
      <c r="GM116" s="28"/>
      <c r="GN116" s="28"/>
      <c r="GO116" s="28"/>
      <c r="GP116" s="28"/>
      <c r="GQ116" s="28"/>
      <c r="GR116" s="28"/>
      <c r="GS116" s="28"/>
      <c r="GT116" s="28"/>
      <c r="GU116" s="28"/>
      <c r="GV116" s="28"/>
      <c r="GW116" s="28"/>
      <c r="GX116" s="28"/>
      <c r="GY116" s="28"/>
      <c r="GZ116" s="28"/>
      <c r="HA116" s="28"/>
      <c r="HB116" s="28"/>
      <c r="HC116" s="28"/>
    </row>
    <row r="117" spans="1:211" s="56" customFormat="1" x14ac:dyDescent="0.25">
      <c r="A117" s="31" t="s">
        <v>120</v>
      </c>
      <c r="B117" s="57">
        <v>45146</v>
      </c>
      <c r="C117" s="58">
        <v>22</v>
      </c>
      <c r="D117" s="70">
        <v>1424.55</v>
      </c>
      <c r="E117" s="70">
        <v>1028.1600000000001</v>
      </c>
      <c r="F117" s="70">
        <v>7234.3</v>
      </c>
      <c r="G117" s="70">
        <v>1003.39</v>
      </c>
      <c r="H117" s="70">
        <v>283.41000000000003</v>
      </c>
      <c r="I117" s="70">
        <v>1348.74</v>
      </c>
      <c r="J117" s="70">
        <v>0</v>
      </c>
      <c r="K117" s="70">
        <v>810</v>
      </c>
      <c r="L117" s="70">
        <v>1.02</v>
      </c>
      <c r="M117" s="70">
        <v>136.25</v>
      </c>
      <c r="N117" s="70">
        <v>0</v>
      </c>
      <c r="O117" s="70">
        <v>1960.69</v>
      </c>
      <c r="P117" s="70">
        <v>418</v>
      </c>
      <c r="Q117" s="70">
        <v>2154.66</v>
      </c>
      <c r="R117" s="70">
        <v>3128.94</v>
      </c>
      <c r="S117" s="70">
        <v>1872.5</v>
      </c>
      <c r="T117" s="71">
        <f t="shared" si="5"/>
        <v>22804.609999999997</v>
      </c>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28"/>
      <c r="BT117" s="28"/>
      <c r="BU117" s="28"/>
      <c r="BV117" s="28"/>
      <c r="BW117" s="28"/>
      <c r="BX117" s="28"/>
      <c r="BY117" s="28"/>
      <c r="BZ117" s="28"/>
      <c r="CA117" s="28"/>
      <c r="CB117" s="28"/>
      <c r="CC117" s="28"/>
      <c r="CD117" s="28"/>
      <c r="CE117" s="28"/>
      <c r="CF117" s="28"/>
      <c r="CG117" s="28"/>
      <c r="CH117" s="28"/>
      <c r="CI117" s="28"/>
      <c r="CJ117" s="28"/>
      <c r="CK117" s="28"/>
      <c r="CL117" s="28"/>
      <c r="CM117" s="28"/>
      <c r="CN117" s="28"/>
      <c r="CO117" s="28"/>
      <c r="CP117" s="28"/>
      <c r="CQ117" s="28"/>
      <c r="CR117" s="28"/>
      <c r="CS117" s="28"/>
      <c r="CT117" s="28"/>
      <c r="CU117" s="28"/>
      <c r="CV117" s="28"/>
      <c r="CW117" s="28"/>
      <c r="CX117" s="28"/>
      <c r="CY117" s="28"/>
      <c r="CZ117" s="28"/>
      <c r="DA117" s="28"/>
      <c r="DB117" s="28"/>
      <c r="DC117" s="28"/>
      <c r="DD117" s="28"/>
      <c r="DE117" s="28"/>
      <c r="DF117" s="28"/>
      <c r="DG117" s="28"/>
      <c r="DH117" s="28"/>
      <c r="DI117" s="28"/>
      <c r="DJ117" s="28"/>
      <c r="DK117" s="28"/>
      <c r="DL117" s="28"/>
      <c r="DM117" s="28"/>
      <c r="DN117" s="28"/>
      <c r="DO117" s="28"/>
      <c r="DP117" s="28"/>
      <c r="DQ117" s="28"/>
      <c r="DR117" s="28"/>
      <c r="DS117" s="28"/>
      <c r="DT117" s="28"/>
      <c r="DU117" s="28"/>
      <c r="DV117" s="28"/>
      <c r="DW117" s="28"/>
      <c r="DX117" s="28"/>
      <c r="DY117" s="28"/>
      <c r="DZ117" s="28"/>
      <c r="EA117" s="28"/>
      <c r="EB117" s="28"/>
      <c r="EC117" s="28"/>
      <c r="ED117" s="28"/>
      <c r="EE117" s="28"/>
      <c r="EF117" s="28"/>
      <c r="EG117" s="28"/>
      <c r="EH117" s="28"/>
      <c r="EI117" s="28"/>
      <c r="EJ117" s="28"/>
      <c r="EK117" s="28"/>
      <c r="EL117" s="28"/>
      <c r="EM117" s="28"/>
      <c r="EN117" s="28"/>
      <c r="EO117" s="28"/>
      <c r="EP117" s="28"/>
      <c r="EQ117" s="28"/>
      <c r="ER117" s="28"/>
      <c r="ES117" s="28"/>
      <c r="ET117" s="28"/>
      <c r="EU117" s="28"/>
      <c r="EV117" s="28"/>
      <c r="EW117" s="28"/>
      <c r="EX117" s="28"/>
      <c r="EY117" s="28"/>
      <c r="EZ117" s="28"/>
      <c r="FA117" s="28"/>
      <c r="FB117" s="28"/>
      <c r="FC117" s="28"/>
      <c r="FD117" s="28"/>
      <c r="FE117" s="28"/>
      <c r="FF117" s="28"/>
      <c r="FG117" s="28"/>
      <c r="FH117" s="28"/>
      <c r="FI117" s="28"/>
      <c r="FJ117" s="28"/>
      <c r="FK117" s="28"/>
      <c r="FL117" s="28"/>
      <c r="FM117" s="28"/>
      <c r="FN117" s="28"/>
      <c r="FO117" s="28"/>
      <c r="FP117" s="28"/>
      <c r="FQ117" s="28"/>
      <c r="FR117" s="28"/>
      <c r="FS117" s="28"/>
      <c r="FT117" s="28"/>
      <c r="FU117" s="28"/>
      <c r="FV117" s="28"/>
      <c r="FW117" s="28"/>
      <c r="FX117" s="28"/>
      <c r="FY117" s="28"/>
      <c r="FZ117" s="28"/>
      <c r="GA117" s="28"/>
      <c r="GB117" s="28"/>
      <c r="GC117" s="28"/>
      <c r="GD117" s="28"/>
      <c r="GE117" s="28"/>
      <c r="GF117" s="28"/>
      <c r="GG117" s="28"/>
      <c r="GH117" s="28"/>
      <c r="GI117" s="28"/>
      <c r="GJ117" s="28"/>
      <c r="GK117" s="28"/>
      <c r="GL117" s="28"/>
      <c r="GM117" s="28"/>
      <c r="GN117" s="28"/>
      <c r="GO117" s="28"/>
      <c r="GP117" s="28"/>
      <c r="GQ117" s="28"/>
      <c r="GR117" s="28"/>
      <c r="GS117" s="28"/>
      <c r="GT117" s="28"/>
      <c r="GU117" s="28"/>
      <c r="GV117" s="28"/>
      <c r="GW117" s="28"/>
      <c r="GX117" s="28"/>
      <c r="GY117" s="28"/>
      <c r="GZ117" s="28"/>
      <c r="HA117" s="28"/>
      <c r="HB117" s="28"/>
      <c r="HC117" s="28"/>
    </row>
    <row r="118" spans="1:211" s="56" customFormat="1" x14ac:dyDescent="0.25">
      <c r="A118" s="31" t="s">
        <v>121</v>
      </c>
      <c r="B118" s="80">
        <v>45188</v>
      </c>
      <c r="C118" s="58">
        <v>34</v>
      </c>
      <c r="D118" s="70">
        <v>2193.23</v>
      </c>
      <c r="E118" s="70">
        <v>2403.0300000000002</v>
      </c>
      <c r="F118" s="70">
        <v>9249.7199999999993</v>
      </c>
      <c r="G118" s="70">
        <v>1640.16</v>
      </c>
      <c r="H118" s="70">
        <v>667.5</v>
      </c>
      <c r="I118" s="70">
        <v>1716.44</v>
      </c>
      <c r="J118" s="70">
        <v>0</v>
      </c>
      <c r="K118" s="70">
        <v>0</v>
      </c>
      <c r="L118" s="70">
        <v>6</v>
      </c>
      <c r="M118" s="70">
        <v>286.08</v>
      </c>
      <c r="N118" s="70">
        <v>157.88</v>
      </c>
      <c r="O118" s="70">
        <v>2845.75</v>
      </c>
      <c r="P118" s="70">
        <v>136</v>
      </c>
      <c r="Q118" s="70">
        <v>3211.89</v>
      </c>
      <c r="R118" s="70">
        <v>4306.43</v>
      </c>
      <c r="S118" s="70">
        <v>2663.23</v>
      </c>
      <c r="T118" s="71">
        <f t="shared" si="5"/>
        <v>31483.34</v>
      </c>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c r="CD118" s="28"/>
      <c r="CE118" s="28"/>
      <c r="CF118" s="28"/>
      <c r="CG118" s="28"/>
      <c r="CH118" s="28"/>
      <c r="CI118" s="28"/>
      <c r="CJ118" s="28"/>
      <c r="CK118" s="28"/>
      <c r="CL118" s="28"/>
      <c r="CM118" s="28"/>
      <c r="CN118" s="28"/>
      <c r="CO118" s="28"/>
      <c r="CP118" s="28"/>
      <c r="CQ118" s="28"/>
      <c r="CR118" s="28"/>
      <c r="CS118" s="28"/>
      <c r="CT118" s="28"/>
      <c r="CU118" s="28"/>
      <c r="CV118" s="28"/>
      <c r="CW118" s="28"/>
      <c r="CX118" s="28"/>
      <c r="CY118" s="28"/>
      <c r="CZ118" s="28"/>
      <c r="DA118" s="28"/>
      <c r="DB118" s="28"/>
      <c r="DC118" s="28"/>
      <c r="DD118" s="28"/>
      <c r="DE118" s="28"/>
      <c r="DF118" s="28"/>
      <c r="DG118" s="28"/>
      <c r="DH118" s="28"/>
      <c r="DI118" s="28"/>
      <c r="DJ118" s="28"/>
      <c r="DK118" s="28"/>
      <c r="DL118" s="28"/>
      <c r="DM118" s="28"/>
      <c r="DN118" s="28"/>
      <c r="DO118" s="28"/>
      <c r="DP118" s="28"/>
      <c r="DQ118" s="28"/>
      <c r="DR118" s="28"/>
      <c r="DS118" s="28"/>
      <c r="DT118" s="28"/>
      <c r="DU118" s="28"/>
      <c r="DV118" s="28"/>
      <c r="DW118" s="28"/>
      <c r="DX118" s="28"/>
      <c r="DY118" s="28"/>
      <c r="DZ118" s="28"/>
      <c r="EA118" s="28"/>
      <c r="EB118" s="28"/>
      <c r="EC118" s="28"/>
      <c r="ED118" s="28"/>
      <c r="EE118" s="28"/>
      <c r="EF118" s="28"/>
      <c r="EG118" s="28"/>
      <c r="EH118" s="28"/>
      <c r="EI118" s="28"/>
      <c r="EJ118" s="28"/>
      <c r="EK118" s="28"/>
      <c r="EL118" s="28"/>
      <c r="EM118" s="28"/>
      <c r="EN118" s="28"/>
      <c r="EO118" s="28"/>
      <c r="EP118" s="28"/>
      <c r="EQ118" s="28"/>
      <c r="ER118" s="28"/>
      <c r="ES118" s="28"/>
      <c r="ET118" s="28"/>
      <c r="EU118" s="28"/>
      <c r="EV118" s="28"/>
      <c r="EW118" s="28"/>
      <c r="EX118" s="28"/>
      <c r="EY118" s="28"/>
      <c r="EZ118" s="28"/>
      <c r="FA118" s="28"/>
      <c r="FB118" s="28"/>
      <c r="FC118" s="28"/>
      <c r="FD118" s="28"/>
      <c r="FE118" s="28"/>
      <c r="FF118" s="28"/>
      <c r="FG118" s="28"/>
      <c r="FH118" s="28"/>
      <c r="FI118" s="28"/>
      <c r="FJ118" s="28"/>
      <c r="FK118" s="28"/>
      <c r="FL118" s="28"/>
      <c r="FM118" s="28"/>
      <c r="FN118" s="28"/>
      <c r="FO118" s="28"/>
      <c r="FP118" s="28"/>
      <c r="FQ118" s="28"/>
      <c r="FR118" s="28"/>
      <c r="FS118" s="28"/>
      <c r="FT118" s="28"/>
      <c r="FU118" s="28"/>
      <c r="FV118" s="28"/>
      <c r="FW118" s="28"/>
      <c r="FX118" s="28"/>
      <c r="FY118" s="28"/>
      <c r="FZ118" s="28"/>
      <c r="GA118" s="28"/>
      <c r="GB118" s="28"/>
      <c r="GC118" s="28"/>
      <c r="GD118" s="28"/>
      <c r="GE118" s="28"/>
      <c r="GF118" s="28"/>
      <c r="GG118" s="28"/>
      <c r="GH118" s="28"/>
      <c r="GI118" s="28"/>
      <c r="GJ118" s="28"/>
      <c r="GK118" s="28"/>
      <c r="GL118" s="28"/>
      <c r="GM118" s="28"/>
      <c r="GN118" s="28"/>
      <c r="GO118" s="28"/>
      <c r="GP118" s="28"/>
      <c r="GQ118" s="28"/>
      <c r="GR118" s="28"/>
      <c r="GS118" s="28"/>
      <c r="GT118" s="28"/>
      <c r="GU118" s="28"/>
      <c r="GV118" s="28"/>
      <c r="GW118" s="28"/>
      <c r="GX118" s="28"/>
      <c r="GY118" s="28"/>
      <c r="GZ118" s="28"/>
      <c r="HA118" s="28"/>
      <c r="HB118" s="28"/>
      <c r="HC118" s="28"/>
    </row>
    <row r="119" spans="1:211" s="56" customFormat="1" x14ac:dyDescent="0.25">
      <c r="A119" s="31" t="s">
        <v>122</v>
      </c>
      <c r="B119" s="57">
        <v>45159</v>
      </c>
      <c r="C119" s="58">
        <v>37</v>
      </c>
      <c r="D119" s="70">
        <v>3379.13</v>
      </c>
      <c r="E119" s="70">
        <v>5934.08</v>
      </c>
      <c r="F119" s="70">
        <v>16923.75</v>
      </c>
      <c r="G119" s="70">
        <v>2791.46</v>
      </c>
      <c r="H119" s="70">
        <v>1469.22</v>
      </c>
      <c r="I119" s="70">
        <v>1792.42</v>
      </c>
      <c r="J119" s="70">
        <v>0</v>
      </c>
      <c r="K119" s="70">
        <v>0.72</v>
      </c>
      <c r="L119" s="70">
        <v>0</v>
      </c>
      <c r="M119" s="70"/>
      <c r="N119" s="70">
        <v>1587.66</v>
      </c>
      <c r="O119" s="70">
        <v>4388.6400000000003</v>
      </c>
      <c r="P119" s="70">
        <v>41</v>
      </c>
      <c r="Q119" s="70"/>
      <c r="R119" s="70">
        <v>6693.71</v>
      </c>
      <c r="S119" s="70">
        <v>3756.96</v>
      </c>
      <c r="T119" s="71">
        <f t="shared" si="5"/>
        <v>48758.75</v>
      </c>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c r="BO119" s="28"/>
      <c r="BP119" s="28"/>
      <c r="BQ119" s="28"/>
      <c r="BR119" s="28"/>
      <c r="BS119" s="28"/>
      <c r="BT119" s="28"/>
      <c r="BU119" s="28"/>
      <c r="BV119" s="28"/>
      <c r="BW119" s="28"/>
      <c r="BX119" s="28"/>
      <c r="BY119" s="28"/>
      <c r="BZ119" s="28"/>
      <c r="CA119" s="28"/>
      <c r="CB119" s="28"/>
      <c r="CC119" s="28"/>
      <c r="CD119" s="28"/>
      <c r="CE119" s="28"/>
      <c r="CF119" s="28"/>
      <c r="CG119" s="28"/>
      <c r="CH119" s="28"/>
      <c r="CI119" s="28"/>
      <c r="CJ119" s="28"/>
      <c r="CK119" s="28"/>
      <c r="CL119" s="28"/>
      <c r="CM119" s="28"/>
      <c r="CN119" s="28"/>
      <c r="CO119" s="28"/>
      <c r="CP119" s="28"/>
      <c r="CQ119" s="28"/>
      <c r="CR119" s="28"/>
      <c r="CS119" s="28"/>
      <c r="CT119" s="28"/>
      <c r="CU119" s="28"/>
      <c r="CV119" s="28"/>
      <c r="CW119" s="28"/>
      <c r="CX119" s="28"/>
      <c r="CY119" s="28"/>
      <c r="CZ119" s="28"/>
      <c r="DA119" s="28"/>
      <c r="DB119" s="28"/>
      <c r="DC119" s="28"/>
      <c r="DD119" s="28"/>
      <c r="DE119" s="28"/>
      <c r="DF119" s="28"/>
      <c r="DG119" s="28"/>
      <c r="DH119" s="28"/>
      <c r="DI119" s="28"/>
      <c r="DJ119" s="28"/>
      <c r="DK119" s="28"/>
      <c r="DL119" s="28"/>
      <c r="DM119" s="28"/>
      <c r="DN119" s="28"/>
      <c r="DO119" s="28"/>
      <c r="DP119" s="28"/>
      <c r="DQ119" s="28"/>
      <c r="DR119" s="28"/>
      <c r="DS119" s="28"/>
      <c r="DT119" s="28"/>
      <c r="DU119" s="28"/>
      <c r="DV119" s="28"/>
      <c r="DW119" s="28"/>
      <c r="DX119" s="28"/>
      <c r="DY119" s="28"/>
      <c r="DZ119" s="28"/>
      <c r="EA119" s="28"/>
      <c r="EB119" s="28"/>
      <c r="EC119" s="28"/>
      <c r="ED119" s="28"/>
      <c r="EE119" s="28"/>
      <c r="EF119" s="28"/>
      <c r="EG119" s="28"/>
      <c r="EH119" s="28"/>
      <c r="EI119" s="28"/>
      <c r="EJ119" s="28"/>
      <c r="EK119" s="28"/>
      <c r="EL119" s="28"/>
      <c r="EM119" s="28"/>
      <c r="EN119" s="28"/>
      <c r="EO119" s="28"/>
      <c r="EP119" s="28"/>
      <c r="EQ119" s="28"/>
      <c r="ER119" s="28"/>
      <c r="ES119" s="28"/>
      <c r="ET119" s="28"/>
      <c r="EU119" s="28"/>
      <c r="EV119" s="28"/>
      <c r="EW119" s="28"/>
      <c r="EX119" s="28"/>
      <c r="EY119" s="28"/>
      <c r="EZ119" s="28"/>
      <c r="FA119" s="28"/>
      <c r="FB119" s="28"/>
      <c r="FC119" s="28"/>
      <c r="FD119" s="28"/>
      <c r="FE119" s="28"/>
      <c r="FF119" s="28"/>
      <c r="FG119" s="28"/>
      <c r="FH119" s="28"/>
      <c r="FI119" s="28"/>
      <c r="FJ119" s="28"/>
      <c r="FK119" s="28"/>
      <c r="FL119" s="28"/>
      <c r="FM119" s="28"/>
      <c r="FN119" s="28"/>
      <c r="FO119" s="28"/>
      <c r="FP119" s="28"/>
      <c r="FQ119" s="28"/>
      <c r="FR119" s="28"/>
      <c r="FS119" s="28"/>
      <c r="FT119" s="28"/>
      <c r="FU119" s="28"/>
      <c r="FV119" s="28"/>
      <c r="FW119" s="28"/>
      <c r="FX119" s="28"/>
      <c r="FY119" s="28"/>
      <c r="FZ119" s="28"/>
      <c r="GA119" s="28"/>
      <c r="GB119" s="28"/>
      <c r="GC119" s="28"/>
      <c r="GD119" s="28"/>
      <c r="GE119" s="28"/>
      <c r="GF119" s="28"/>
      <c r="GG119" s="28"/>
      <c r="GH119" s="28"/>
      <c r="GI119" s="28"/>
      <c r="GJ119" s="28"/>
      <c r="GK119" s="28"/>
      <c r="GL119" s="28"/>
      <c r="GM119" s="28"/>
      <c r="GN119" s="28"/>
      <c r="GO119" s="28"/>
      <c r="GP119" s="28"/>
      <c r="GQ119" s="28"/>
      <c r="GR119" s="28"/>
      <c r="GS119" s="28"/>
      <c r="GT119" s="28"/>
      <c r="GU119" s="28"/>
      <c r="GV119" s="28"/>
      <c r="GW119" s="28"/>
      <c r="GX119" s="28"/>
      <c r="GY119" s="28"/>
      <c r="GZ119" s="28"/>
      <c r="HA119" s="28"/>
      <c r="HB119" s="28"/>
      <c r="HC119" s="28"/>
    </row>
    <row r="120" spans="1:211" s="56" customFormat="1" x14ac:dyDescent="0.25">
      <c r="A120" s="31" t="s">
        <v>142</v>
      </c>
      <c r="B120" s="57">
        <v>45190</v>
      </c>
      <c r="C120" s="58">
        <v>101</v>
      </c>
      <c r="D120" s="72">
        <v>12278.93</v>
      </c>
      <c r="E120" s="70">
        <v>7901.25</v>
      </c>
      <c r="F120" s="70">
        <v>15732.38</v>
      </c>
      <c r="G120" s="70">
        <v>5018.33</v>
      </c>
      <c r="H120" s="70">
        <v>4270.9399999999996</v>
      </c>
      <c r="I120" s="70">
        <v>5659</v>
      </c>
      <c r="J120" s="70">
        <v>0</v>
      </c>
      <c r="K120" s="70">
        <v>0</v>
      </c>
      <c r="L120" s="70">
        <v>13.94</v>
      </c>
      <c r="M120" s="70">
        <v>1388.06</v>
      </c>
      <c r="N120" s="70">
        <v>0</v>
      </c>
      <c r="O120" s="70">
        <v>8148.95</v>
      </c>
      <c r="P120" s="70">
        <v>1313</v>
      </c>
      <c r="Q120" s="70">
        <v>9164.61</v>
      </c>
      <c r="R120" s="70">
        <v>12487.5</v>
      </c>
      <c r="S120" s="70">
        <v>7657.77</v>
      </c>
      <c r="T120" s="71">
        <f t="shared" si="5"/>
        <v>91034.66</v>
      </c>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c r="CD120" s="28"/>
      <c r="CE120" s="28"/>
      <c r="CF120" s="28"/>
      <c r="CG120" s="28"/>
      <c r="CH120" s="28"/>
      <c r="CI120" s="28"/>
      <c r="CJ120" s="28"/>
      <c r="CK120" s="28"/>
      <c r="CL120" s="28"/>
      <c r="CM120" s="28"/>
      <c r="CN120" s="28"/>
      <c r="CO120" s="28"/>
      <c r="CP120" s="28"/>
      <c r="CQ120" s="28"/>
      <c r="CR120" s="28"/>
      <c r="CS120" s="28"/>
      <c r="CT120" s="28"/>
      <c r="CU120" s="28"/>
      <c r="CV120" s="28"/>
      <c r="CW120" s="28"/>
      <c r="CX120" s="28"/>
      <c r="CY120" s="28"/>
      <c r="CZ120" s="28"/>
      <c r="DA120" s="28"/>
      <c r="DB120" s="28"/>
      <c r="DC120" s="28"/>
      <c r="DD120" s="28"/>
      <c r="DE120" s="28"/>
      <c r="DF120" s="28"/>
      <c r="DG120" s="28"/>
      <c r="DH120" s="28"/>
      <c r="DI120" s="28"/>
      <c r="DJ120" s="28"/>
      <c r="DK120" s="28"/>
      <c r="DL120" s="28"/>
      <c r="DM120" s="28"/>
      <c r="DN120" s="28"/>
      <c r="DO120" s="28"/>
      <c r="DP120" s="28"/>
      <c r="DQ120" s="28"/>
      <c r="DR120" s="28"/>
      <c r="DS120" s="28"/>
      <c r="DT120" s="28"/>
      <c r="DU120" s="28"/>
      <c r="DV120" s="28"/>
      <c r="DW120" s="28"/>
      <c r="DX120" s="28"/>
      <c r="DY120" s="28"/>
      <c r="DZ120" s="28"/>
      <c r="EA120" s="28"/>
      <c r="EB120" s="28"/>
      <c r="EC120" s="28"/>
      <c r="ED120" s="28"/>
      <c r="EE120" s="28"/>
      <c r="EF120" s="28"/>
      <c r="EG120" s="28"/>
      <c r="EH120" s="28"/>
      <c r="EI120" s="28"/>
      <c r="EJ120" s="28"/>
      <c r="EK120" s="28"/>
      <c r="EL120" s="28"/>
      <c r="EM120" s="28"/>
      <c r="EN120" s="28"/>
      <c r="EO120" s="28"/>
      <c r="EP120" s="28"/>
      <c r="EQ120" s="28"/>
      <c r="ER120" s="28"/>
      <c r="ES120" s="28"/>
      <c r="ET120" s="28"/>
      <c r="EU120" s="28"/>
      <c r="EV120" s="28"/>
      <c r="EW120" s="28"/>
      <c r="EX120" s="28"/>
      <c r="EY120" s="28"/>
      <c r="EZ120" s="28"/>
      <c r="FA120" s="28"/>
      <c r="FB120" s="28"/>
      <c r="FC120" s="28"/>
      <c r="FD120" s="28"/>
      <c r="FE120" s="28"/>
      <c r="FF120" s="28"/>
      <c r="FG120" s="28"/>
      <c r="FH120" s="28"/>
      <c r="FI120" s="28"/>
      <c r="FJ120" s="28"/>
      <c r="FK120" s="28"/>
      <c r="FL120" s="28"/>
      <c r="FM120" s="28"/>
      <c r="FN120" s="28"/>
      <c r="FO120" s="28"/>
      <c r="FP120" s="28"/>
      <c r="FQ120" s="28"/>
      <c r="FR120" s="28"/>
      <c r="FS120" s="28"/>
      <c r="FT120" s="28"/>
      <c r="FU120" s="28"/>
      <c r="FV120" s="28"/>
      <c r="FW120" s="28"/>
      <c r="FX120" s="28"/>
      <c r="FY120" s="28"/>
      <c r="FZ120" s="28"/>
      <c r="GA120" s="28"/>
      <c r="GB120" s="28"/>
      <c r="GC120" s="28"/>
      <c r="GD120" s="28"/>
      <c r="GE120" s="28"/>
      <c r="GF120" s="28"/>
      <c r="GG120" s="28"/>
      <c r="GH120" s="28"/>
      <c r="GI120" s="28"/>
      <c r="GJ120" s="28"/>
      <c r="GK120" s="28"/>
      <c r="GL120" s="28"/>
      <c r="GM120" s="28"/>
      <c r="GN120" s="28"/>
      <c r="GO120" s="28"/>
      <c r="GP120" s="28"/>
      <c r="GQ120" s="28"/>
      <c r="GR120" s="28"/>
      <c r="GS120" s="28"/>
      <c r="GT120" s="28"/>
      <c r="GU120" s="28"/>
      <c r="GV120" s="28"/>
      <c r="GW120" s="28"/>
      <c r="GX120" s="28"/>
      <c r="GY120" s="28"/>
      <c r="GZ120" s="28"/>
      <c r="HA120" s="28"/>
      <c r="HB120" s="28"/>
      <c r="HC120" s="28"/>
    </row>
    <row r="121" spans="1:211" s="56" customFormat="1" x14ac:dyDescent="0.25">
      <c r="A121" s="31" t="s">
        <v>165</v>
      </c>
      <c r="B121" s="57">
        <v>45190</v>
      </c>
      <c r="C121" s="58">
        <v>50</v>
      </c>
      <c r="D121" s="72">
        <v>3938.24</v>
      </c>
      <c r="E121" s="70">
        <v>2534.19</v>
      </c>
      <c r="F121" s="70">
        <v>11074.76</v>
      </c>
      <c r="G121" s="70">
        <v>1609.55</v>
      </c>
      <c r="H121" s="70">
        <v>1369.82</v>
      </c>
      <c r="I121" s="70">
        <v>1815</v>
      </c>
      <c r="J121" s="70">
        <v>0</v>
      </c>
      <c r="K121" s="70">
        <v>0</v>
      </c>
      <c r="L121" s="70">
        <v>10.68</v>
      </c>
      <c r="M121" s="70">
        <v>445.18</v>
      </c>
      <c r="N121" s="70">
        <v>0</v>
      </c>
      <c r="O121" s="70">
        <v>3543.06</v>
      </c>
      <c r="P121" s="70">
        <v>650</v>
      </c>
      <c r="Q121" s="70">
        <v>3996.92</v>
      </c>
      <c r="R121" s="70">
        <v>5458.87</v>
      </c>
      <c r="S121" s="70">
        <v>3429.43</v>
      </c>
      <c r="T121" s="71">
        <f t="shared" si="5"/>
        <v>39875.700000000004</v>
      </c>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c r="BR121" s="28"/>
      <c r="BS121" s="28"/>
      <c r="BT121" s="28"/>
      <c r="BU121" s="28"/>
      <c r="BV121" s="28"/>
      <c r="BW121" s="28"/>
      <c r="BX121" s="28"/>
      <c r="BY121" s="28"/>
      <c r="BZ121" s="28"/>
      <c r="CA121" s="28"/>
      <c r="CB121" s="28"/>
      <c r="CC121" s="28"/>
      <c r="CD121" s="28"/>
      <c r="CE121" s="28"/>
      <c r="CF121" s="28"/>
      <c r="CG121" s="28"/>
      <c r="CH121" s="28"/>
      <c r="CI121" s="28"/>
      <c r="CJ121" s="28"/>
      <c r="CK121" s="28"/>
      <c r="CL121" s="28"/>
      <c r="CM121" s="28"/>
      <c r="CN121" s="28"/>
      <c r="CO121" s="28"/>
      <c r="CP121" s="28"/>
      <c r="CQ121" s="28"/>
      <c r="CR121" s="28"/>
      <c r="CS121" s="28"/>
      <c r="CT121" s="28"/>
      <c r="CU121" s="28"/>
      <c r="CV121" s="28"/>
      <c r="CW121" s="28"/>
      <c r="CX121" s="28"/>
      <c r="CY121" s="28"/>
      <c r="CZ121" s="28"/>
      <c r="DA121" s="28"/>
      <c r="DB121" s="28"/>
      <c r="DC121" s="28"/>
      <c r="DD121" s="28"/>
      <c r="DE121" s="28"/>
      <c r="DF121" s="28"/>
      <c r="DG121" s="28"/>
      <c r="DH121" s="28"/>
      <c r="DI121" s="28"/>
      <c r="DJ121" s="28"/>
      <c r="DK121" s="28"/>
      <c r="DL121" s="28"/>
      <c r="DM121" s="28"/>
      <c r="DN121" s="28"/>
      <c r="DO121" s="28"/>
      <c r="DP121" s="28"/>
      <c r="DQ121" s="28"/>
      <c r="DR121" s="28"/>
      <c r="DS121" s="28"/>
      <c r="DT121" s="28"/>
      <c r="DU121" s="28"/>
      <c r="DV121" s="28"/>
      <c r="DW121" s="28"/>
      <c r="DX121" s="28"/>
      <c r="DY121" s="28"/>
      <c r="DZ121" s="28"/>
      <c r="EA121" s="28"/>
      <c r="EB121" s="28"/>
      <c r="EC121" s="28"/>
      <c r="ED121" s="28"/>
      <c r="EE121" s="28"/>
      <c r="EF121" s="28"/>
      <c r="EG121" s="28"/>
      <c r="EH121" s="28"/>
      <c r="EI121" s="28"/>
      <c r="EJ121" s="28"/>
      <c r="EK121" s="28"/>
      <c r="EL121" s="28"/>
      <c r="EM121" s="28"/>
      <c r="EN121" s="28"/>
      <c r="EO121" s="28"/>
      <c r="EP121" s="28"/>
      <c r="EQ121" s="28"/>
      <c r="ER121" s="28"/>
      <c r="ES121" s="28"/>
      <c r="ET121" s="28"/>
      <c r="EU121" s="28"/>
      <c r="EV121" s="28"/>
      <c r="EW121" s="28"/>
      <c r="EX121" s="28"/>
      <c r="EY121" s="28"/>
      <c r="EZ121" s="28"/>
      <c r="FA121" s="28"/>
      <c r="FB121" s="28"/>
      <c r="FC121" s="28"/>
      <c r="FD121" s="28"/>
      <c r="FE121" s="28"/>
      <c r="FF121" s="28"/>
      <c r="FG121" s="28"/>
      <c r="FH121" s="28"/>
      <c r="FI121" s="28"/>
      <c r="FJ121" s="28"/>
      <c r="FK121" s="28"/>
      <c r="FL121" s="28"/>
      <c r="FM121" s="28"/>
      <c r="FN121" s="28"/>
      <c r="FO121" s="28"/>
      <c r="FP121" s="28"/>
      <c r="FQ121" s="28"/>
      <c r="FR121" s="28"/>
      <c r="FS121" s="28"/>
      <c r="FT121" s="28"/>
      <c r="FU121" s="28"/>
      <c r="FV121" s="28"/>
      <c r="FW121" s="28"/>
      <c r="FX121" s="28"/>
      <c r="FY121" s="28"/>
      <c r="FZ121" s="28"/>
      <c r="GA121" s="28"/>
      <c r="GB121" s="28"/>
      <c r="GC121" s="28"/>
      <c r="GD121" s="28"/>
      <c r="GE121" s="28"/>
      <c r="GF121" s="28"/>
      <c r="GG121" s="28"/>
      <c r="GH121" s="28"/>
      <c r="GI121" s="28"/>
      <c r="GJ121" s="28"/>
      <c r="GK121" s="28"/>
      <c r="GL121" s="28"/>
      <c r="GM121" s="28"/>
      <c r="GN121" s="28"/>
      <c r="GO121" s="28"/>
      <c r="GP121" s="28"/>
      <c r="GQ121" s="28"/>
      <c r="GR121" s="28"/>
      <c r="GS121" s="28"/>
      <c r="GT121" s="28"/>
      <c r="GU121" s="28"/>
      <c r="GV121" s="28"/>
      <c r="GW121" s="28"/>
      <c r="GX121" s="28"/>
      <c r="GY121" s="28"/>
      <c r="GZ121" s="28"/>
      <c r="HA121" s="28"/>
      <c r="HB121" s="28"/>
      <c r="HC121" s="28"/>
    </row>
    <row r="122" spans="1:211" s="56" customFormat="1" x14ac:dyDescent="0.25">
      <c r="A122" s="31" t="s">
        <v>123</v>
      </c>
      <c r="B122" s="57">
        <v>45156</v>
      </c>
      <c r="C122" s="58">
        <v>5</v>
      </c>
      <c r="D122" s="70">
        <v>34.19</v>
      </c>
      <c r="E122" s="70">
        <v>21.57</v>
      </c>
      <c r="F122" s="70">
        <v>102.38</v>
      </c>
      <c r="G122" s="70">
        <v>39</v>
      </c>
      <c r="H122" s="70">
        <v>17.61</v>
      </c>
      <c r="I122" s="70">
        <v>39.200000000000003</v>
      </c>
      <c r="J122" s="70">
        <v>0</v>
      </c>
      <c r="K122" s="70">
        <v>1.05</v>
      </c>
      <c r="L122" s="70">
        <v>22.03</v>
      </c>
      <c r="M122" s="70">
        <v>13.08</v>
      </c>
      <c r="N122" s="70">
        <v>0</v>
      </c>
      <c r="O122" s="70">
        <v>41.54</v>
      </c>
      <c r="P122" s="70">
        <v>10</v>
      </c>
      <c r="Q122" s="70">
        <v>43.36</v>
      </c>
      <c r="R122" s="70">
        <v>88.04</v>
      </c>
      <c r="S122" s="70">
        <v>182.02</v>
      </c>
      <c r="T122" s="71">
        <f t="shared" si="5"/>
        <v>655.07000000000005</v>
      </c>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28"/>
      <c r="BR122" s="28"/>
      <c r="BS122" s="28"/>
      <c r="BT122" s="28"/>
      <c r="BU122" s="28"/>
      <c r="BV122" s="28"/>
      <c r="BW122" s="28"/>
      <c r="BX122" s="28"/>
      <c r="BY122" s="28"/>
      <c r="BZ122" s="28"/>
      <c r="CA122" s="28"/>
      <c r="CB122" s="28"/>
      <c r="CC122" s="28"/>
      <c r="CD122" s="28"/>
      <c r="CE122" s="28"/>
      <c r="CF122" s="28"/>
      <c r="CG122" s="28"/>
      <c r="CH122" s="28"/>
      <c r="CI122" s="28"/>
      <c r="CJ122" s="28"/>
      <c r="CK122" s="28"/>
      <c r="CL122" s="28"/>
      <c r="CM122" s="28"/>
      <c r="CN122" s="28"/>
      <c r="CO122" s="28"/>
      <c r="CP122" s="28"/>
      <c r="CQ122" s="28"/>
      <c r="CR122" s="28"/>
      <c r="CS122" s="28"/>
      <c r="CT122" s="28"/>
      <c r="CU122" s="28"/>
      <c r="CV122" s="28"/>
      <c r="CW122" s="28"/>
      <c r="CX122" s="28"/>
      <c r="CY122" s="28"/>
      <c r="CZ122" s="28"/>
      <c r="DA122" s="28"/>
      <c r="DB122" s="28"/>
      <c r="DC122" s="28"/>
      <c r="DD122" s="28"/>
      <c r="DE122" s="28"/>
      <c r="DF122" s="28"/>
      <c r="DG122" s="28"/>
      <c r="DH122" s="28"/>
      <c r="DI122" s="28"/>
      <c r="DJ122" s="28"/>
      <c r="DK122" s="28"/>
      <c r="DL122" s="28"/>
      <c r="DM122" s="28"/>
      <c r="DN122" s="28"/>
      <c r="DO122" s="28"/>
      <c r="DP122" s="28"/>
      <c r="DQ122" s="28"/>
      <c r="DR122" s="28"/>
      <c r="DS122" s="28"/>
      <c r="DT122" s="28"/>
      <c r="DU122" s="28"/>
      <c r="DV122" s="28"/>
      <c r="DW122" s="28"/>
      <c r="DX122" s="28"/>
      <c r="DY122" s="28"/>
      <c r="DZ122" s="28"/>
      <c r="EA122" s="28"/>
      <c r="EB122" s="28"/>
      <c r="EC122" s="28"/>
      <c r="ED122" s="28"/>
      <c r="EE122" s="28"/>
      <c r="EF122" s="28"/>
      <c r="EG122" s="28"/>
      <c r="EH122" s="28"/>
      <c r="EI122" s="28"/>
      <c r="EJ122" s="28"/>
      <c r="EK122" s="28"/>
      <c r="EL122" s="28"/>
      <c r="EM122" s="28"/>
      <c r="EN122" s="28"/>
      <c r="EO122" s="28"/>
      <c r="EP122" s="28"/>
      <c r="EQ122" s="28"/>
      <c r="ER122" s="28"/>
      <c r="ES122" s="28"/>
      <c r="ET122" s="28"/>
      <c r="EU122" s="28"/>
      <c r="EV122" s="28"/>
      <c r="EW122" s="28"/>
      <c r="EX122" s="28"/>
      <c r="EY122" s="28"/>
      <c r="EZ122" s="28"/>
      <c r="FA122" s="28"/>
      <c r="FB122" s="28"/>
      <c r="FC122" s="28"/>
      <c r="FD122" s="28"/>
      <c r="FE122" s="28"/>
      <c r="FF122" s="28"/>
      <c r="FG122" s="28"/>
      <c r="FH122" s="28"/>
      <c r="FI122" s="28"/>
      <c r="FJ122" s="28"/>
      <c r="FK122" s="28"/>
      <c r="FL122" s="28"/>
      <c r="FM122" s="28"/>
      <c r="FN122" s="28"/>
      <c r="FO122" s="28"/>
      <c r="FP122" s="28"/>
      <c r="FQ122" s="28"/>
      <c r="FR122" s="28"/>
      <c r="FS122" s="28"/>
      <c r="FT122" s="28"/>
      <c r="FU122" s="28"/>
      <c r="FV122" s="28"/>
      <c r="FW122" s="28"/>
      <c r="FX122" s="28"/>
      <c r="FY122" s="28"/>
      <c r="FZ122" s="28"/>
      <c r="GA122" s="28"/>
      <c r="GB122" s="28"/>
      <c r="GC122" s="28"/>
      <c r="GD122" s="28"/>
      <c r="GE122" s="28"/>
      <c r="GF122" s="28"/>
      <c r="GG122" s="28"/>
      <c r="GH122" s="28"/>
      <c r="GI122" s="28"/>
      <c r="GJ122" s="28"/>
      <c r="GK122" s="28"/>
      <c r="GL122" s="28"/>
      <c r="GM122" s="28"/>
      <c r="GN122" s="28"/>
      <c r="GO122" s="28"/>
      <c r="GP122" s="28"/>
      <c r="GQ122" s="28"/>
      <c r="GR122" s="28"/>
      <c r="GS122" s="28"/>
      <c r="GT122" s="28"/>
      <c r="GU122" s="28"/>
      <c r="GV122" s="28"/>
      <c r="GW122" s="28"/>
      <c r="GX122" s="28"/>
      <c r="GY122" s="28"/>
      <c r="GZ122" s="28"/>
      <c r="HA122" s="28"/>
      <c r="HB122" s="28"/>
      <c r="HC122" s="28"/>
    </row>
    <row r="123" spans="1:211" x14ac:dyDescent="0.25">
      <c r="A123" s="31" t="s">
        <v>124</v>
      </c>
      <c r="B123" s="57">
        <v>45163</v>
      </c>
      <c r="C123" s="58">
        <v>21</v>
      </c>
      <c r="D123" s="70">
        <v>4297.8100000000004</v>
      </c>
      <c r="E123" s="70">
        <v>2466.54</v>
      </c>
      <c r="F123" s="70">
        <v>26048.31</v>
      </c>
      <c r="G123" s="70">
        <v>2279.7199999999998</v>
      </c>
      <c r="H123" s="70">
        <v>747.44</v>
      </c>
      <c r="I123" s="70">
        <v>672.7</v>
      </c>
      <c r="J123" s="70">
        <v>0</v>
      </c>
      <c r="K123" s="70">
        <v>1631.13</v>
      </c>
      <c r="L123" s="70">
        <v>0</v>
      </c>
      <c r="M123" s="70">
        <v>0</v>
      </c>
      <c r="N123" s="70">
        <v>0</v>
      </c>
      <c r="O123" s="70">
        <v>5275.89</v>
      </c>
      <c r="P123" s="70">
        <v>336</v>
      </c>
      <c r="Q123" s="70">
        <v>6176.17</v>
      </c>
      <c r="R123" s="70">
        <v>8863.9699999999993</v>
      </c>
      <c r="S123" s="70">
        <v>4746.99</v>
      </c>
      <c r="T123" s="71">
        <f t="shared" si="5"/>
        <v>63542.67</v>
      </c>
    </row>
    <row r="124" spans="1:211" x14ac:dyDescent="0.25">
      <c r="A124" s="73" t="s">
        <v>169</v>
      </c>
      <c r="C124" s="74"/>
      <c r="R124" s="70"/>
    </row>
    <row r="125" spans="1:211" x14ac:dyDescent="0.25">
      <c r="A125" s="75" t="s">
        <v>138</v>
      </c>
      <c r="C125" s="58"/>
      <c r="D125" s="60"/>
      <c r="E125" s="60"/>
      <c r="F125" s="60"/>
      <c r="G125" s="60"/>
      <c r="H125" s="60"/>
      <c r="I125" s="60"/>
      <c r="J125" s="60"/>
      <c r="K125" s="60"/>
      <c r="L125" s="60"/>
      <c r="M125" s="60"/>
      <c r="N125" s="60"/>
      <c r="O125" s="60"/>
      <c r="P125" s="60"/>
      <c r="Q125" s="60"/>
      <c r="R125" s="60"/>
      <c r="S125" s="60"/>
      <c r="T125" s="61">
        <f>SUM(T2:T124)</f>
        <v>13525097.389999995</v>
      </c>
    </row>
    <row r="126" spans="1:211" x14ac:dyDescent="0.25">
      <c r="C126" s="74"/>
    </row>
    <row r="127" spans="1:211" x14ac:dyDescent="0.25">
      <c r="A127" s="31" t="s">
        <v>325</v>
      </c>
      <c r="C127" s="74"/>
    </row>
    <row r="128" spans="1:211" x14ac:dyDescent="0.25">
      <c r="A128" s="73"/>
      <c r="C128" s="74"/>
      <c r="T128" s="61"/>
    </row>
    <row r="129" spans="3:3" x14ac:dyDescent="0.25">
      <c r="C129" s="74"/>
    </row>
    <row r="130" spans="3:3" x14ac:dyDescent="0.25">
      <c r="C130" s="74"/>
    </row>
    <row r="131" spans="3:3" x14ac:dyDescent="0.25">
      <c r="C131" s="74"/>
    </row>
    <row r="132" spans="3:3" x14ac:dyDescent="0.25">
      <c r="C132" s="74"/>
    </row>
    <row r="133" spans="3:3" x14ac:dyDescent="0.25">
      <c r="C133" s="74"/>
    </row>
    <row r="134" spans="3:3" x14ac:dyDescent="0.25">
      <c r="C134" s="74"/>
    </row>
    <row r="135" spans="3:3" x14ac:dyDescent="0.25">
      <c r="C135" s="74"/>
    </row>
    <row r="136" spans="3:3" x14ac:dyDescent="0.25">
      <c r="C136" s="74"/>
    </row>
    <row r="137" spans="3:3" x14ac:dyDescent="0.25">
      <c r="C137" s="74"/>
    </row>
    <row r="138" spans="3:3" x14ac:dyDescent="0.25">
      <c r="C138" s="74"/>
    </row>
    <row r="139" spans="3:3" x14ac:dyDescent="0.25">
      <c r="C139" s="74"/>
    </row>
    <row r="140" spans="3:3" x14ac:dyDescent="0.25">
      <c r="C140" s="74"/>
    </row>
    <row r="141" spans="3:3" x14ac:dyDescent="0.25">
      <c r="C141" s="74"/>
    </row>
    <row r="142" spans="3:3" x14ac:dyDescent="0.25">
      <c r="C142" s="74"/>
    </row>
    <row r="143" spans="3:3" x14ac:dyDescent="0.25">
      <c r="C143" s="74"/>
    </row>
    <row r="144" spans="3:3" x14ac:dyDescent="0.25">
      <c r="C144" s="74"/>
    </row>
    <row r="145" spans="3:3" x14ac:dyDescent="0.25">
      <c r="C145" s="74"/>
    </row>
    <row r="146" spans="3:3" x14ac:dyDescent="0.25">
      <c r="C146" s="74"/>
    </row>
    <row r="147" spans="3:3" x14ac:dyDescent="0.25">
      <c r="C147" s="74"/>
    </row>
    <row r="148" spans="3:3" x14ac:dyDescent="0.25">
      <c r="C148" s="74"/>
    </row>
    <row r="149" spans="3:3" x14ac:dyDescent="0.25">
      <c r="C149" s="74"/>
    </row>
    <row r="150" spans="3:3" x14ac:dyDescent="0.25">
      <c r="C150" s="74"/>
    </row>
    <row r="151" spans="3:3" x14ac:dyDescent="0.25">
      <c r="C151" s="74"/>
    </row>
    <row r="152" spans="3:3" x14ac:dyDescent="0.25">
      <c r="C152" s="74"/>
    </row>
    <row r="153" spans="3:3" x14ac:dyDescent="0.25">
      <c r="C153" s="74"/>
    </row>
    <row r="154" spans="3:3" x14ac:dyDescent="0.25">
      <c r="C154" s="74"/>
    </row>
    <row r="155" spans="3:3" x14ac:dyDescent="0.25">
      <c r="C155" s="74"/>
    </row>
    <row r="156" spans="3:3" x14ac:dyDescent="0.25">
      <c r="C156" s="74"/>
    </row>
    <row r="157" spans="3:3" x14ac:dyDescent="0.25">
      <c r="C157" s="74"/>
    </row>
    <row r="158" spans="3:3" x14ac:dyDescent="0.25">
      <c r="C158" s="74"/>
    </row>
    <row r="159" spans="3:3" x14ac:dyDescent="0.25">
      <c r="C159" s="74"/>
    </row>
    <row r="160" spans="3:3" x14ac:dyDescent="0.25">
      <c r="C160" s="74"/>
    </row>
    <row r="161" spans="3:3" x14ac:dyDescent="0.25">
      <c r="C161" s="74"/>
    </row>
    <row r="162" spans="3:3" x14ac:dyDescent="0.25">
      <c r="C162" s="74"/>
    </row>
    <row r="163" spans="3:3" x14ac:dyDescent="0.25">
      <c r="C163" s="74"/>
    </row>
    <row r="164" spans="3:3" x14ac:dyDescent="0.25">
      <c r="C164" s="74"/>
    </row>
    <row r="165" spans="3:3" x14ac:dyDescent="0.25">
      <c r="C165" s="74"/>
    </row>
    <row r="166" spans="3:3" x14ac:dyDescent="0.25">
      <c r="C166" s="74"/>
    </row>
    <row r="167" spans="3:3" x14ac:dyDescent="0.25">
      <c r="C167" s="74"/>
    </row>
    <row r="168" spans="3:3" x14ac:dyDescent="0.25">
      <c r="C168" s="74"/>
    </row>
    <row r="169" spans="3:3" x14ac:dyDescent="0.25">
      <c r="C169" s="74"/>
    </row>
    <row r="170" spans="3:3" x14ac:dyDescent="0.25">
      <c r="C170" s="74"/>
    </row>
    <row r="171" spans="3:3" x14ac:dyDescent="0.25">
      <c r="C171" s="74"/>
    </row>
    <row r="172" spans="3:3" x14ac:dyDescent="0.25">
      <c r="C172" s="74"/>
    </row>
    <row r="173" spans="3:3" x14ac:dyDescent="0.25">
      <c r="C173" s="74"/>
    </row>
    <row r="174" spans="3:3" x14ac:dyDescent="0.25">
      <c r="C174" s="74"/>
    </row>
    <row r="175" spans="3:3" x14ac:dyDescent="0.25">
      <c r="C175" s="74"/>
    </row>
    <row r="176" spans="3:3" x14ac:dyDescent="0.25">
      <c r="C176" s="74"/>
    </row>
    <row r="177" spans="3:3" x14ac:dyDescent="0.25">
      <c r="C177" s="74"/>
    </row>
    <row r="178" spans="3:3" x14ac:dyDescent="0.25">
      <c r="C178" s="74"/>
    </row>
    <row r="179" spans="3:3" x14ac:dyDescent="0.25">
      <c r="C179" s="74"/>
    </row>
    <row r="180" spans="3:3" x14ac:dyDescent="0.25">
      <c r="C180" s="74"/>
    </row>
    <row r="181" spans="3:3" x14ac:dyDescent="0.25">
      <c r="C181" s="74"/>
    </row>
    <row r="182" spans="3:3" x14ac:dyDescent="0.25">
      <c r="C182" s="74"/>
    </row>
    <row r="183" spans="3:3" x14ac:dyDescent="0.25">
      <c r="C183" s="74"/>
    </row>
    <row r="184" spans="3:3" x14ac:dyDescent="0.25">
      <c r="C184" s="74"/>
    </row>
    <row r="185" spans="3:3" x14ac:dyDescent="0.25">
      <c r="C185" s="74"/>
    </row>
    <row r="186" spans="3:3" x14ac:dyDescent="0.25">
      <c r="C186" s="74"/>
    </row>
    <row r="187" spans="3:3" x14ac:dyDescent="0.25">
      <c r="C187" s="74"/>
    </row>
    <row r="188" spans="3:3" x14ac:dyDescent="0.25">
      <c r="C188" s="74"/>
    </row>
    <row r="189" spans="3:3" x14ac:dyDescent="0.25">
      <c r="C189" s="74"/>
    </row>
    <row r="190" spans="3:3" x14ac:dyDescent="0.25">
      <c r="C190" s="74"/>
    </row>
    <row r="191" spans="3:3" x14ac:dyDescent="0.25">
      <c r="C191" s="74"/>
    </row>
    <row r="192" spans="3:3" x14ac:dyDescent="0.25">
      <c r="C192" s="74"/>
    </row>
    <row r="193" spans="3:3" x14ac:dyDescent="0.25">
      <c r="C193" s="74"/>
    </row>
    <row r="194" spans="3:3" x14ac:dyDescent="0.25">
      <c r="C194" s="74"/>
    </row>
    <row r="195" spans="3:3" x14ac:dyDescent="0.25">
      <c r="C195" s="74"/>
    </row>
    <row r="196" spans="3:3" x14ac:dyDescent="0.25">
      <c r="C196" s="74"/>
    </row>
    <row r="197" spans="3:3" x14ac:dyDescent="0.25">
      <c r="C197" s="74"/>
    </row>
    <row r="198" spans="3:3" x14ac:dyDescent="0.25">
      <c r="C198" s="74"/>
    </row>
    <row r="199" spans="3:3" x14ac:dyDescent="0.25">
      <c r="C199" s="74"/>
    </row>
    <row r="200" spans="3:3" x14ac:dyDescent="0.25">
      <c r="C200" s="74"/>
    </row>
    <row r="201" spans="3:3" x14ac:dyDescent="0.25">
      <c r="C201" s="74"/>
    </row>
    <row r="202" spans="3:3" x14ac:dyDescent="0.25">
      <c r="C202" s="74"/>
    </row>
    <row r="203" spans="3:3" x14ac:dyDescent="0.25">
      <c r="C203" s="74"/>
    </row>
    <row r="204" spans="3:3" x14ac:dyDescent="0.25">
      <c r="C204" s="74"/>
    </row>
    <row r="205" spans="3:3" x14ac:dyDescent="0.25">
      <c r="C205" s="74"/>
    </row>
    <row r="206" spans="3:3" x14ac:dyDescent="0.25">
      <c r="C206" s="74"/>
    </row>
    <row r="207" spans="3:3" x14ac:dyDescent="0.25">
      <c r="C207" s="74"/>
    </row>
    <row r="208" spans="3:3" x14ac:dyDescent="0.25">
      <c r="C208" s="74"/>
    </row>
    <row r="209" spans="3:3" x14ac:dyDescent="0.25">
      <c r="C209" s="74"/>
    </row>
    <row r="210" spans="3:3" x14ac:dyDescent="0.25">
      <c r="C210" s="74"/>
    </row>
    <row r="211" spans="3:3" x14ac:dyDescent="0.25">
      <c r="C211" s="74"/>
    </row>
    <row r="212" spans="3:3" x14ac:dyDescent="0.25">
      <c r="C212" s="74"/>
    </row>
    <row r="213" spans="3:3" x14ac:dyDescent="0.25">
      <c r="C213" s="74"/>
    </row>
    <row r="214" spans="3:3" x14ac:dyDescent="0.25">
      <c r="C214" s="74"/>
    </row>
    <row r="215" spans="3:3" x14ac:dyDescent="0.25">
      <c r="C215" s="74"/>
    </row>
    <row r="216" spans="3:3" x14ac:dyDescent="0.25">
      <c r="C216" s="74"/>
    </row>
    <row r="217" spans="3:3" x14ac:dyDescent="0.25">
      <c r="C217" s="74"/>
    </row>
    <row r="218" spans="3:3" x14ac:dyDescent="0.25">
      <c r="C218" s="74"/>
    </row>
    <row r="219" spans="3:3" x14ac:dyDescent="0.25">
      <c r="C219" s="74"/>
    </row>
    <row r="220" spans="3:3" x14ac:dyDescent="0.25">
      <c r="C220" s="74"/>
    </row>
    <row r="221" spans="3:3" x14ac:dyDescent="0.25">
      <c r="C221" s="74"/>
    </row>
    <row r="222" spans="3:3" x14ac:dyDescent="0.25">
      <c r="C222" s="74"/>
    </row>
    <row r="223" spans="3:3" x14ac:dyDescent="0.25">
      <c r="C223" s="74"/>
    </row>
    <row r="224" spans="3:3" x14ac:dyDescent="0.25">
      <c r="C224" s="74"/>
    </row>
    <row r="225" spans="3:3" x14ac:dyDescent="0.25">
      <c r="C225" s="74"/>
    </row>
    <row r="226" spans="3:3" x14ac:dyDescent="0.25">
      <c r="C226" s="74"/>
    </row>
    <row r="227" spans="3:3" x14ac:dyDescent="0.25">
      <c r="C227" s="74"/>
    </row>
    <row r="228" spans="3:3" x14ac:dyDescent="0.25">
      <c r="C228" s="74"/>
    </row>
    <row r="229" spans="3:3" x14ac:dyDescent="0.25">
      <c r="C229" s="74"/>
    </row>
    <row r="230" spans="3:3" x14ac:dyDescent="0.25">
      <c r="C230" s="74"/>
    </row>
    <row r="231" spans="3:3" x14ac:dyDescent="0.25">
      <c r="C231" s="74"/>
    </row>
    <row r="232" spans="3:3" x14ac:dyDescent="0.25">
      <c r="C232" s="74"/>
    </row>
    <row r="233" spans="3:3" x14ac:dyDescent="0.25">
      <c r="C233" s="74"/>
    </row>
    <row r="234" spans="3:3" x14ac:dyDescent="0.25">
      <c r="C234" s="74"/>
    </row>
    <row r="235" spans="3:3" x14ac:dyDescent="0.25">
      <c r="C235" s="74"/>
    </row>
    <row r="236" spans="3:3" x14ac:dyDescent="0.25">
      <c r="C236" s="74"/>
    </row>
    <row r="237" spans="3:3" x14ac:dyDescent="0.25">
      <c r="C237" s="74"/>
    </row>
    <row r="238" spans="3:3" x14ac:dyDescent="0.25">
      <c r="C238" s="74"/>
    </row>
    <row r="239" spans="3:3" x14ac:dyDescent="0.25">
      <c r="C239" s="74"/>
    </row>
    <row r="240" spans="3:3" x14ac:dyDescent="0.25">
      <c r="C240" s="74"/>
    </row>
    <row r="241" spans="3:3" x14ac:dyDescent="0.25">
      <c r="C241" s="74"/>
    </row>
    <row r="242" spans="3:3" x14ac:dyDescent="0.25">
      <c r="C242" s="74"/>
    </row>
    <row r="243" spans="3:3" x14ac:dyDescent="0.25">
      <c r="C243" s="74"/>
    </row>
    <row r="244" spans="3:3" x14ac:dyDescent="0.25">
      <c r="C244" s="74"/>
    </row>
    <row r="245" spans="3:3" x14ac:dyDescent="0.25">
      <c r="C245" s="74"/>
    </row>
    <row r="246" spans="3:3" x14ac:dyDescent="0.25">
      <c r="C246" s="74"/>
    </row>
    <row r="247" spans="3:3" x14ac:dyDescent="0.25">
      <c r="C247" s="74"/>
    </row>
    <row r="248" spans="3:3" x14ac:dyDescent="0.25">
      <c r="C248" s="74"/>
    </row>
    <row r="249" spans="3:3" x14ac:dyDescent="0.25">
      <c r="C249" s="74"/>
    </row>
    <row r="250" spans="3:3" x14ac:dyDescent="0.25">
      <c r="C250" s="74"/>
    </row>
    <row r="251" spans="3:3" x14ac:dyDescent="0.25">
      <c r="C251" s="74"/>
    </row>
    <row r="252" spans="3:3" x14ac:dyDescent="0.25">
      <c r="C252" s="74"/>
    </row>
    <row r="253" spans="3:3" x14ac:dyDescent="0.25">
      <c r="C253" s="74"/>
    </row>
    <row r="254" spans="3:3" x14ac:dyDescent="0.25">
      <c r="C254" s="74"/>
    </row>
    <row r="255" spans="3:3" x14ac:dyDescent="0.25">
      <c r="C255" s="74"/>
    </row>
    <row r="256" spans="3:3" x14ac:dyDescent="0.25">
      <c r="C256" s="74"/>
    </row>
    <row r="257" spans="3:3" x14ac:dyDescent="0.25">
      <c r="C257" s="74"/>
    </row>
    <row r="258" spans="3:3" x14ac:dyDescent="0.25">
      <c r="C258" s="74"/>
    </row>
    <row r="259" spans="3:3" x14ac:dyDescent="0.25">
      <c r="C259" s="74"/>
    </row>
    <row r="260" spans="3:3" x14ac:dyDescent="0.25">
      <c r="C260" s="74"/>
    </row>
    <row r="261" spans="3:3" x14ac:dyDescent="0.25">
      <c r="C261" s="74"/>
    </row>
    <row r="262" spans="3:3" x14ac:dyDescent="0.25">
      <c r="C262" s="74"/>
    </row>
    <row r="263" spans="3:3" x14ac:dyDescent="0.25">
      <c r="C263" s="74"/>
    </row>
    <row r="264" spans="3:3" x14ac:dyDescent="0.25">
      <c r="C264" s="74"/>
    </row>
    <row r="265" spans="3:3" x14ac:dyDescent="0.25">
      <c r="C265" s="74"/>
    </row>
    <row r="266" spans="3:3" x14ac:dyDescent="0.25">
      <c r="C266" s="74"/>
    </row>
    <row r="267" spans="3:3" x14ac:dyDescent="0.25">
      <c r="C267" s="74"/>
    </row>
    <row r="268" spans="3:3" x14ac:dyDescent="0.25">
      <c r="C268" s="74"/>
    </row>
    <row r="269" spans="3:3" x14ac:dyDescent="0.25">
      <c r="C269" s="74"/>
    </row>
    <row r="270" spans="3:3" x14ac:dyDescent="0.25">
      <c r="C270" s="74"/>
    </row>
    <row r="271" spans="3:3" x14ac:dyDescent="0.25">
      <c r="C271" s="74"/>
    </row>
    <row r="272" spans="3:3" x14ac:dyDescent="0.25">
      <c r="C272" s="74"/>
    </row>
    <row r="273" spans="3:3" x14ac:dyDescent="0.25">
      <c r="C273" s="74"/>
    </row>
    <row r="274" spans="3:3" x14ac:dyDescent="0.25">
      <c r="C274" s="74"/>
    </row>
    <row r="275" spans="3:3" x14ac:dyDescent="0.25">
      <c r="C275" s="74"/>
    </row>
    <row r="276" spans="3:3" x14ac:dyDescent="0.25">
      <c r="C276" s="74"/>
    </row>
    <row r="277" spans="3:3" x14ac:dyDescent="0.25">
      <c r="C277" s="74"/>
    </row>
    <row r="278" spans="3:3" x14ac:dyDescent="0.25">
      <c r="C278" s="74"/>
    </row>
    <row r="279" spans="3:3" x14ac:dyDescent="0.25">
      <c r="C279" s="74"/>
    </row>
    <row r="280" spans="3:3" x14ac:dyDescent="0.25">
      <c r="C280" s="74"/>
    </row>
    <row r="281" spans="3:3" x14ac:dyDescent="0.25">
      <c r="C281" s="74"/>
    </row>
    <row r="282" spans="3:3" x14ac:dyDescent="0.25">
      <c r="C282" s="74"/>
    </row>
    <row r="283" spans="3:3" x14ac:dyDescent="0.25">
      <c r="C283" s="74"/>
    </row>
    <row r="284" spans="3:3" x14ac:dyDescent="0.25">
      <c r="C284" s="74"/>
    </row>
    <row r="285" spans="3:3" x14ac:dyDescent="0.25">
      <c r="C285" s="74"/>
    </row>
    <row r="286" spans="3:3" x14ac:dyDescent="0.25">
      <c r="C286" s="74"/>
    </row>
    <row r="287" spans="3:3" x14ac:dyDescent="0.25">
      <c r="C287" s="74"/>
    </row>
    <row r="288" spans="3:3" x14ac:dyDescent="0.25">
      <c r="C288" s="74"/>
    </row>
    <row r="289" spans="3:3" x14ac:dyDescent="0.25">
      <c r="C289" s="74"/>
    </row>
    <row r="290" spans="3:3" x14ac:dyDescent="0.25">
      <c r="C290" s="74"/>
    </row>
    <row r="291" spans="3:3" x14ac:dyDescent="0.25">
      <c r="C291" s="74"/>
    </row>
    <row r="292" spans="3:3" x14ac:dyDescent="0.25">
      <c r="C292" s="74"/>
    </row>
    <row r="293" spans="3:3" x14ac:dyDescent="0.25">
      <c r="C293" s="74"/>
    </row>
    <row r="294" spans="3:3" x14ac:dyDescent="0.25">
      <c r="C294" s="74"/>
    </row>
    <row r="295" spans="3:3" x14ac:dyDescent="0.25">
      <c r="C295" s="74"/>
    </row>
    <row r="296" spans="3:3" x14ac:dyDescent="0.25">
      <c r="C296" s="74"/>
    </row>
    <row r="297" spans="3:3" x14ac:dyDescent="0.25">
      <c r="C297" s="74"/>
    </row>
    <row r="298" spans="3:3" x14ac:dyDescent="0.25">
      <c r="C298" s="74"/>
    </row>
    <row r="299" spans="3:3" x14ac:dyDescent="0.25">
      <c r="C299" s="74"/>
    </row>
    <row r="300" spans="3:3" x14ac:dyDescent="0.25">
      <c r="C300" s="74"/>
    </row>
    <row r="301" spans="3:3" x14ac:dyDescent="0.25">
      <c r="C301" s="74"/>
    </row>
    <row r="302" spans="3:3" x14ac:dyDescent="0.25">
      <c r="C302" s="74"/>
    </row>
    <row r="303" spans="3:3" x14ac:dyDescent="0.25">
      <c r="C303" s="74"/>
    </row>
    <row r="304" spans="3:3" x14ac:dyDescent="0.25">
      <c r="C304" s="74"/>
    </row>
    <row r="305" spans="3:3" x14ac:dyDescent="0.25">
      <c r="C305" s="74"/>
    </row>
    <row r="306" spans="3:3" x14ac:dyDescent="0.25">
      <c r="C306" s="74"/>
    </row>
    <row r="307" spans="3:3" x14ac:dyDescent="0.25">
      <c r="C307" s="74"/>
    </row>
    <row r="308" spans="3:3" x14ac:dyDescent="0.25">
      <c r="C308" s="74"/>
    </row>
    <row r="309" spans="3:3" x14ac:dyDescent="0.25">
      <c r="C309" s="74"/>
    </row>
    <row r="310" spans="3:3" x14ac:dyDescent="0.25">
      <c r="C310" s="74"/>
    </row>
    <row r="311" spans="3:3" x14ac:dyDescent="0.25">
      <c r="C311" s="74"/>
    </row>
    <row r="312" spans="3:3" x14ac:dyDescent="0.25">
      <c r="C312" s="74"/>
    </row>
    <row r="313" spans="3:3" x14ac:dyDescent="0.25">
      <c r="C313" s="74"/>
    </row>
    <row r="314" spans="3:3" x14ac:dyDescent="0.25">
      <c r="C314" s="74"/>
    </row>
    <row r="315" spans="3:3" x14ac:dyDescent="0.25">
      <c r="C315" s="74"/>
    </row>
    <row r="316" spans="3:3" x14ac:dyDescent="0.25">
      <c r="C316" s="74"/>
    </row>
    <row r="317" spans="3:3" x14ac:dyDescent="0.25">
      <c r="C317" s="74"/>
    </row>
    <row r="318" spans="3:3" x14ac:dyDescent="0.25">
      <c r="C318" s="74"/>
    </row>
    <row r="319" spans="3:3" x14ac:dyDescent="0.25">
      <c r="C319" s="74"/>
    </row>
    <row r="320" spans="3:3" x14ac:dyDescent="0.25">
      <c r="C320" s="74"/>
    </row>
    <row r="321" spans="3:3" x14ac:dyDescent="0.25">
      <c r="C321" s="74"/>
    </row>
    <row r="322" spans="3:3" x14ac:dyDescent="0.25">
      <c r="C322" s="74"/>
    </row>
    <row r="323" spans="3:3" x14ac:dyDescent="0.25">
      <c r="C323" s="74"/>
    </row>
    <row r="324" spans="3:3" x14ac:dyDescent="0.25">
      <c r="C324" s="74"/>
    </row>
    <row r="325" spans="3:3" x14ac:dyDescent="0.25">
      <c r="C325" s="74"/>
    </row>
    <row r="326" spans="3:3" x14ac:dyDescent="0.25">
      <c r="C326" s="74"/>
    </row>
    <row r="327" spans="3:3" x14ac:dyDescent="0.25">
      <c r="C327" s="74"/>
    </row>
    <row r="328" spans="3:3" x14ac:dyDescent="0.25">
      <c r="C328" s="74"/>
    </row>
    <row r="329" spans="3:3" x14ac:dyDescent="0.25">
      <c r="C329" s="74"/>
    </row>
    <row r="330" spans="3:3" x14ac:dyDescent="0.25">
      <c r="C330" s="74"/>
    </row>
    <row r="331" spans="3:3" x14ac:dyDescent="0.25">
      <c r="C331" s="74"/>
    </row>
    <row r="332" spans="3:3" x14ac:dyDescent="0.25">
      <c r="C332" s="74"/>
    </row>
    <row r="333" spans="3:3" x14ac:dyDescent="0.25">
      <c r="C333" s="74"/>
    </row>
    <row r="334" spans="3:3" x14ac:dyDescent="0.25">
      <c r="C334" s="74"/>
    </row>
    <row r="335" spans="3:3" x14ac:dyDescent="0.25">
      <c r="C335" s="74"/>
    </row>
    <row r="336" spans="3:3" x14ac:dyDescent="0.25">
      <c r="C336" s="74"/>
    </row>
    <row r="337" spans="3:3" x14ac:dyDescent="0.25">
      <c r="C337" s="74"/>
    </row>
    <row r="338" spans="3:3" x14ac:dyDescent="0.25">
      <c r="C338" s="74"/>
    </row>
    <row r="339" spans="3:3" x14ac:dyDescent="0.25">
      <c r="C339" s="74"/>
    </row>
    <row r="340" spans="3:3" x14ac:dyDescent="0.25">
      <c r="C340" s="74"/>
    </row>
    <row r="341" spans="3:3" x14ac:dyDescent="0.25">
      <c r="C341" s="74"/>
    </row>
    <row r="342" spans="3:3" x14ac:dyDescent="0.25">
      <c r="C342" s="74"/>
    </row>
    <row r="343" spans="3:3" x14ac:dyDescent="0.25">
      <c r="C343" s="74"/>
    </row>
    <row r="344" spans="3:3" x14ac:dyDescent="0.25">
      <c r="C344" s="74"/>
    </row>
    <row r="345" spans="3:3" x14ac:dyDescent="0.25">
      <c r="C345" s="74"/>
    </row>
    <row r="346" spans="3:3" x14ac:dyDescent="0.25">
      <c r="C346" s="74"/>
    </row>
    <row r="347" spans="3:3" x14ac:dyDescent="0.25">
      <c r="C347" s="74"/>
    </row>
    <row r="348" spans="3:3" x14ac:dyDescent="0.25">
      <c r="C348" s="74"/>
    </row>
    <row r="349" spans="3:3" x14ac:dyDescent="0.25">
      <c r="C349" s="74"/>
    </row>
    <row r="350" spans="3:3" x14ac:dyDescent="0.25">
      <c r="C350" s="74"/>
    </row>
    <row r="351" spans="3:3" x14ac:dyDescent="0.25">
      <c r="C351" s="74"/>
    </row>
    <row r="352" spans="3:3" x14ac:dyDescent="0.25">
      <c r="C352" s="74"/>
    </row>
    <row r="353" spans="3:3" x14ac:dyDescent="0.25">
      <c r="C353" s="74"/>
    </row>
    <row r="354" spans="3:3" x14ac:dyDescent="0.25">
      <c r="C354" s="74"/>
    </row>
    <row r="355" spans="3:3" x14ac:dyDescent="0.25">
      <c r="C355" s="74"/>
    </row>
    <row r="356" spans="3:3" x14ac:dyDescent="0.25">
      <c r="C356" s="74"/>
    </row>
    <row r="357" spans="3:3" x14ac:dyDescent="0.25">
      <c r="C357" s="74"/>
    </row>
    <row r="358" spans="3:3" x14ac:dyDescent="0.25">
      <c r="C358" s="74"/>
    </row>
    <row r="359" spans="3:3" x14ac:dyDescent="0.25">
      <c r="C359" s="74"/>
    </row>
    <row r="360" spans="3:3" x14ac:dyDescent="0.25">
      <c r="C360" s="74"/>
    </row>
    <row r="361" spans="3:3" x14ac:dyDescent="0.25">
      <c r="C361" s="74"/>
    </row>
    <row r="362" spans="3:3" x14ac:dyDescent="0.25">
      <c r="C362" s="74"/>
    </row>
    <row r="363" spans="3:3" x14ac:dyDescent="0.25">
      <c r="C363" s="74"/>
    </row>
    <row r="364" spans="3:3" x14ac:dyDescent="0.25">
      <c r="C364" s="74"/>
    </row>
    <row r="365" spans="3:3" x14ac:dyDescent="0.25">
      <c r="C365" s="74"/>
    </row>
    <row r="366" spans="3:3" x14ac:dyDescent="0.25">
      <c r="C366" s="74"/>
    </row>
    <row r="367" spans="3:3" x14ac:dyDescent="0.25">
      <c r="C367" s="74"/>
    </row>
    <row r="368" spans="3:3" x14ac:dyDescent="0.25">
      <c r="C368" s="74"/>
    </row>
    <row r="369" spans="3:3" x14ac:dyDescent="0.25">
      <c r="C369" s="74"/>
    </row>
    <row r="370" spans="3:3" x14ac:dyDescent="0.25">
      <c r="C370" s="74"/>
    </row>
    <row r="371" spans="3:3" x14ac:dyDescent="0.25">
      <c r="C371" s="74"/>
    </row>
    <row r="372" spans="3:3" x14ac:dyDescent="0.25">
      <c r="C372" s="74"/>
    </row>
    <row r="373" spans="3:3" x14ac:dyDescent="0.25">
      <c r="C373" s="74"/>
    </row>
    <row r="374" spans="3:3" x14ac:dyDescent="0.25">
      <c r="C374" s="74"/>
    </row>
    <row r="375" spans="3:3" x14ac:dyDescent="0.25">
      <c r="C375" s="74"/>
    </row>
    <row r="376" spans="3:3" x14ac:dyDescent="0.25">
      <c r="C376" s="74"/>
    </row>
    <row r="377" spans="3:3" x14ac:dyDescent="0.25">
      <c r="C377" s="74"/>
    </row>
    <row r="378" spans="3:3" x14ac:dyDescent="0.25">
      <c r="C378" s="74"/>
    </row>
    <row r="379" spans="3:3" x14ac:dyDescent="0.25">
      <c r="C379" s="74"/>
    </row>
    <row r="380" spans="3:3" x14ac:dyDescent="0.25">
      <c r="C380" s="74"/>
    </row>
    <row r="381" spans="3:3" x14ac:dyDescent="0.25">
      <c r="C381" s="74"/>
    </row>
    <row r="382" spans="3:3" x14ac:dyDescent="0.25">
      <c r="C382" s="74"/>
    </row>
    <row r="383" spans="3:3" x14ac:dyDescent="0.25">
      <c r="C383" s="74"/>
    </row>
    <row r="384" spans="3:3" x14ac:dyDescent="0.25">
      <c r="C384" s="74"/>
    </row>
    <row r="385" spans="3:3" x14ac:dyDescent="0.25">
      <c r="C385" s="74"/>
    </row>
    <row r="386" spans="3:3" x14ac:dyDescent="0.25">
      <c r="C386" s="74"/>
    </row>
    <row r="387" spans="3:3" x14ac:dyDescent="0.25">
      <c r="C387" s="74"/>
    </row>
    <row r="388" spans="3:3" x14ac:dyDescent="0.25">
      <c r="C388" s="74"/>
    </row>
    <row r="389" spans="3:3" x14ac:dyDescent="0.25">
      <c r="C389" s="74"/>
    </row>
    <row r="390" spans="3:3" x14ac:dyDescent="0.25">
      <c r="C390" s="74"/>
    </row>
    <row r="391" spans="3:3" x14ac:dyDescent="0.25">
      <c r="C391" s="74"/>
    </row>
    <row r="392" spans="3:3" x14ac:dyDescent="0.25">
      <c r="C392" s="74"/>
    </row>
    <row r="393" spans="3:3" x14ac:dyDescent="0.25">
      <c r="C393" s="74"/>
    </row>
    <row r="394" spans="3:3" x14ac:dyDescent="0.25">
      <c r="C394" s="74"/>
    </row>
    <row r="395" spans="3:3" x14ac:dyDescent="0.25">
      <c r="C395" s="74"/>
    </row>
    <row r="396" spans="3:3" x14ac:dyDescent="0.25">
      <c r="C396" s="74"/>
    </row>
    <row r="397" spans="3:3" x14ac:dyDescent="0.25">
      <c r="C397" s="74"/>
    </row>
    <row r="398" spans="3:3" x14ac:dyDescent="0.25">
      <c r="C398" s="74"/>
    </row>
    <row r="399" spans="3:3" x14ac:dyDescent="0.25">
      <c r="C399" s="74"/>
    </row>
    <row r="400" spans="3:3" x14ac:dyDescent="0.25">
      <c r="C400" s="74"/>
    </row>
    <row r="401" spans="3:3" x14ac:dyDescent="0.25">
      <c r="C401" s="74"/>
    </row>
    <row r="402" spans="3:3" x14ac:dyDescent="0.25">
      <c r="C402" s="74"/>
    </row>
    <row r="403" spans="3:3" x14ac:dyDescent="0.25">
      <c r="C403" s="74"/>
    </row>
    <row r="404" spans="3:3" x14ac:dyDescent="0.25">
      <c r="C404" s="74"/>
    </row>
    <row r="405" spans="3:3" x14ac:dyDescent="0.25">
      <c r="C405" s="74"/>
    </row>
    <row r="406" spans="3:3" x14ac:dyDescent="0.25">
      <c r="C406" s="74"/>
    </row>
    <row r="407" spans="3:3" x14ac:dyDescent="0.25">
      <c r="C407" s="74"/>
    </row>
    <row r="408" spans="3:3" x14ac:dyDescent="0.25">
      <c r="C408" s="74"/>
    </row>
    <row r="409" spans="3:3" x14ac:dyDescent="0.25">
      <c r="C409" s="74"/>
    </row>
    <row r="410" spans="3:3" x14ac:dyDescent="0.25">
      <c r="C410" s="74"/>
    </row>
    <row r="411" spans="3:3" x14ac:dyDescent="0.25">
      <c r="C411" s="74"/>
    </row>
    <row r="412" spans="3:3" x14ac:dyDescent="0.25">
      <c r="C412" s="74"/>
    </row>
    <row r="413" spans="3:3" x14ac:dyDescent="0.25">
      <c r="C413" s="74"/>
    </row>
    <row r="414" spans="3:3" x14ac:dyDescent="0.25">
      <c r="C414" s="74"/>
    </row>
    <row r="415" spans="3:3" x14ac:dyDescent="0.25">
      <c r="C415" s="74"/>
    </row>
    <row r="416" spans="3:3" x14ac:dyDescent="0.25">
      <c r="C416" s="74"/>
    </row>
    <row r="417" spans="3:3" x14ac:dyDescent="0.25">
      <c r="C417" s="74"/>
    </row>
    <row r="418" spans="3:3" x14ac:dyDescent="0.25">
      <c r="C418" s="74"/>
    </row>
    <row r="419" spans="3:3" x14ac:dyDescent="0.25">
      <c r="C419" s="74"/>
    </row>
    <row r="420" spans="3:3" x14ac:dyDescent="0.25">
      <c r="C420" s="74"/>
    </row>
    <row r="421" spans="3:3" x14ac:dyDescent="0.25">
      <c r="C421" s="74"/>
    </row>
    <row r="422" spans="3:3" x14ac:dyDescent="0.25">
      <c r="C422" s="74"/>
    </row>
    <row r="423" spans="3:3" x14ac:dyDescent="0.25">
      <c r="C423" s="74"/>
    </row>
    <row r="424" spans="3:3" x14ac:dyDescent="0.25">
      <c r="C424" s="74"/>
    </row>
    <row r="425" spans="3:3" x14ac:dyDescent="0.25">
      <c r="C425" s="74"/>
    </row>
    <row r="426" spans="3:3" x14ac:dyDescent="0.25">
      <c r="C426" s="74"/>
    </row>
    <row r="427" spans="3:3" x14ac:dyDescent="0.25">
      <c r="C427" s="74"/>
    </row>
    <row r="428" spans="3:3" x14ac:dyDescent="0.25">
      <c r="C428" s="74"/>
    </row>
    <row r="429" spans="3:3" x14ac:dyDescent="0.25">
      <c r="C429" s="74"/>
    </row>
    <row r="430" spans="3:3" x14ac:dyDescent="0.25">
      <c r="C430" s="74"/>
    </row>
    <row r="431" spans="3:3" x14ac:dyDescent="0.25">
      <c r="C431" s="74"/>
    </row>
    <row r="432" spans="3:3" x14ac:dyDescent="0.25">
      <c r="C432" s="74"/>
    </row>
    <row r="433" spans="3:3" x14ac:dyDescent="0.25">
      <c r="C433" s="74"/>
    </row>
    <row r="434" spans="3:3" x14ac:dyDescent="0.25">
      <c r="C434" s="74"/>
    </row>
    <row r="435" spans="3:3" x14ac:dyDescent="0.25">
      <c r="C435" s="74"/>
    </row>
    <row r="436" spans="3:3" x14ac:dyDescent="0.25">
      <c r="C436" s="74"/>
    </row>
    <row r="437" spans="3:3" x14ac:dyDescent="0.25">
      <c r="C437" s="74"/>
    </row>
    <row r="438" spans="3:3" x14ac:dyDescent="0.25">
      <c r="C438" s="74"/>
    </row>
    <row r="439" spans="3:3" x14ac:dyDescent="0.25">
      <c r="C439" s="74"/>
    </row>
    <row r="440" spans="3:3" x14ac:dyDescent="0.25">
      <c r="C440" s="74"/>
    </row>
    <row r="441" spans="3:3" x14ac:dyDescent="0.25">
      <c r="C441" s="74"/>
    </row>
    <row r="442" spans="3:3" x14ac:dyDescent="0.25">
      <c r="C442" s="74"/>
    </row>
    <row r="443" spans="3:3" x14ac:dyDescent="0.25">
      <c r="C443" s="74"/>
    </row>
    <row r="444" spans="3:3" x14ac:dyDescent="0.25">
      <c r="C444" s="74"/>
    </row>
    <row r="445" spans="3:3" x14ac:dyDescent="0.25">
      <c r="C445" s="74"/>
    </row>
    <row r="446" spans="3:3" x14ac:dyDescent="0.25">
      <c r="C446" s="74"/>
    </row>
    <row r="447" spans="3:3" x14ac:dyDescent="0.25">
      <c r="C447" s="74"/>
    </row>
    <row r="448" spans="3:3" x14ac:dyDescent="0.25">
      <c r="C448" s="74"/>
    </row>
    <row r="449" spans="3:3" x14ac:dyDescent="0.25">
      <c r="C449" s="74"/>
    </row>
    <row r="450" spans="3:3" x14ac:dyDescent="0.25">
      <c r="C450" s="74"/>
    </row>
    <row r="451" spans="3:3" x14ac:dyDescent="0.25">
      <c r="C451" s="74"/>
    </row>
    <row r="452" spans="3:3" x14ac:dyDescent="0.25">
      <c r="C452" s="74"/>
    </row>
    <row r="453" spans="3:3" x14ac:dyDescent="0.25">
      <c r="C453" s="74"/>
    </row>
    <row r="454" spans="3:3" x14ac:dyDescent="0.25">
      <c r="C454" s="74"/>
    </row>
    <row r="455" spans="3:3" x14ac:dyDescent="0.25">
      <c r="C455" s="74"/>
    </row>
    <row r="456" spans="3:3" x14ac:dyDescent="0.25">
      <c r="C456" s="74"/>
    </row>
    <row r="457" spans="3:3" x14ac:dyDescent="0.25">
      <c r="C457" s="74"/>
    </row>
    <row r="458" spans="3:3" x14ac:dyDescent="0.25">
      <c r="C458" s="74"/>
    </row>
    <row r="459" spans="3:3" x14ac:dyDescent="0.25">
      <c r="C459" s="74"/>
    </row>
    <row r="460" spans="3:3" x14ac:dyDescent="0.25">
      <c r="C460" s="74"/>
    </row>
    <row r="461" spans="3:3" x14ac:dyDescent="0.25">
      <c r="C461" s="74"/>
    </row>
    <row r="462" spans="3:3" x14ac:dyDescent="0.25">
      <c r="C462" s="74"/>
    </row>
    <row r="463" spans="3:3" x14ac:dyDescent="0.25">
      <c r="C463" s="74"/>
    </row>
    <row r="464" spans="3:3" x14ac:dyDescent="0.25">
      <c r="C464" s="74"/>
    </row>
    <row r="465" spans="3:3" x14ac:dyDescent="0.25">
      <c r="C465" s="74"/>
    </row>
    <row r="466" spans="3:3" x14ac:dyDescent="0.25">
      <c r="C466" s="74"/>
    </row>
    <row r="467" spans="3:3" x14ac:dyDescent="0.25">
      <c r="C467" s="74"/>
    </row>
    <row r="468" spans="3:3" x14ac:dyDescent="0.25">
      <c r="C468" s="74"/>
    </row>
    <row r="469" spans="3:3" x14ac:dyDescent="0.25">
      <c r="C469" s="74"/>
    </row>
    <row r="470" spans="3:3" x14ac:dyDescent="0.25">
      <c r="C470" s="74"/>
    </row>
    <row r="471" spans="3:3" x14ac:dyDescent="0.25">
      <c r="C471" s="74"/>
    </row>
    <row r="472" spans="3:3" x14ac:dyDescent="0.25">
      <c r="C472" s="74"/>
    </row>
    <row r="473" spans="3:3" x14ac:dyDescent="0.25">
      <c r="C473" s="74"/>
    </row>
    <row r="474" spans="3:3" x14ac:dyDescent="0.25">
      <c r="C474" s="74"/>
    </row>
    <row r="475" spans="3:3" x14ac:dyDescent="0.25">
      <c r="C475" s="74"/>
    </row>
    <row r="476" spans="3:3" x14ac:dyDescent="0.25">
      <c r="C476" s="74"/>
    </row>
    <row r="477" spans="3:3" x14ac:dyDescent="0.25">
      <c r="C477" s="74"/>
    </row>
    <row r="478" spans="3:3" x14ac:dyDescent="0.25">
      <c r="C478" s="74"/>
    </row>
    <row r="479" spans="3:3" x14ac:dyDescent="0.25">
      <c r="C479" s="74"/>
    </row>
    <row r="480" spans="3:3" x14ac:dyDescent="0.25">
      <c r="C480" s="74"/>
    </row>
    <row r="481" spans="3:3" x14ac:dyDescent="0.25">
      <c r="C481" s="74"/>
    </row>
    <row r="482" spans="3:3" x14ac:dyDescent="0.25">
      <c r="C482" s="74"/>
    </row>
    <row r="483" spans="3:3" x14ac:dyDescent="0.25">
      <c r="C483" s="74"/>
    </row>
    <row r="484" spans="3:3" x14ac:dyDescent="0.25">
      <c r="C484" s="74"/>
    </row>
    <row r="485" spans="3:3" x14ac:dyDescent="0.25">
      <c r="C485" s="74"/>
    </row>
    <row r="486" spans="3:3" x14ac:dyDescent="0.25">
      <c r="C486" s="74"/>
    </row>
    <row r="487" spans="3:3" x14ac:dyDescent="0.25">
      <c r="C487" s="74"/>
    </row>
    <row r="488" spans="3:3" x14ac:dyDescent="0.25">
      <c r="C488" s="74"/>
    </row>
    <row r="489" spans="3:3" x14ac:dyDescent="0.25">
      <c r="C489" s="74"/>
    </row>
    <row r="490" spans="3:3" x14ac:dyDescent="0.25">
      <c r="C490" s="74"/>
    </row>
    <row r="491" spans="3:3" x14ac:dyDescent="0.25">
      <c r="C491" s="74"/>
    </row>
    <row r="492" spans="3:3" x14ac:dyDescent="0.25">
      <c r="C492" s="74"/>
    </row>
    <row r="493" spans="3:3" x14ac:dyDescent="0.25">
      <c r="C493" s="74"/>
    </row>
    <row r="494" spans="3:3" x14ac:dyDescent="0.25">
      <c r="C494" s="74"/>
    </row>
    <row r="495" spans="3:3" x14ac:dyDescent="0.25">
      <c r="C495" s="74"/>
    </row>
    <row r="496" spans="3:3" x14ac:dyDescent="0.25">
      <c r="C496" s="74"/>
    </row>
    <row r="497" spans="3:3" x14ac:dyDescent="0.25">
      <c r="C497" s="74"/>
    </row>
    <row r="498" spans="3:3" x14ac:dyDescent="0.25">
      <c r="C498" s="74"/>
    </row>
    <row r="499" spans="3:3" x14ac:dyDescent="0.25">
      <c r="C499" s="74"/>
    </row>
    <row r="500" spans="3:3" x14ac:dyDescent="0.25">
      <c r="C500" s="74"/>
    </row>
    <row r="501" spans="3:3" x14ac:dyDescent="0.25">
      <c r="C501" s="74"/>
    </row>
    <row r="502" spans="3:3" x14ac:dyDescent="0.25">
      <c r="C502" s="74"/>
    </row>
    <row r="503" spans="3:3" x14ac:dyDescent="0.25">
      <c r="C503" s="74"/>
    </row>
    <row r="504" spans="3:3" x14ac:dyDescent="0.25">
      <c r="C504" s="74"/>
    </row>
    <row r="505" spans="3:3" x14ac:dyDescent="0.25">
      <c r="C505" s="74"/>
    </row>
    <row r="506" spans="3:3" x14ac:dyDescent="0.25">
      <c r="C506" s="74"/>
    </row>
    <row r="507" spans="3:3" x14ac:dyDescent="0.25">
      <c r="C507" s="74"/>
    </row>
    <row r="508" spans="3:3" x14ac:dyDescent="0.25">
      <c r="C508" s="74"/>
    </row>
    <row r="509" spans="3:3" x14ac:dyDescent="0.25">
      <c r="C509" s="74"/>
    </row>
    <row r="510" spans="3:3" x14ac:dyDescent="0.25">
      <c r="C510" s="74"/>
    </row>
    <row r="511" spans="3:3" x14ac:dyDescent="0.25">
      <c r="C511" s="74"/>
    </row>
    <row r="512" spans="3:3" x14ac:dyDescent="0.25">
      <c r="C512" s="74"/>
    </row>
    <row r="513" spans="3:3" x14ac:dyDescent="0.25">
      <c r="C513" s="74"/>
    </row>
    <row r="514" spans="3:3" x14ac:dyDescent="0.25">
      <c r="C514" s="74"/>
    </row>
    <row r="515" spans="3:3" x14ac:dyDescent="0.25">
      <c r="C515" s="74"/>
    </row>
    <row r="516" spans="3:3" x14ac:dyDescent="0.25">
      <c r="C516" s="74"/>
    </row>
    <row r="517" spans="3:3" x14ac:dyDescent="0.25">
      <c r="C517" s="74"/>
    </row>
    <row r="518" spans="3:3" x14ac:dyDescent="0.25">
      <c r="C518" s="74"/>
    </row>
    <row r="519" spans="3:3" x14ac:dyDescent="0.25">
      <c r="C519" s="74"/>
    </row>
    <row r="520" spans="3:3" x14ac:dyDescent="0.25">
      <c r="C520" s="74"/>
    </row>
    <row r="521" spans="3:3" x14ac:dyDescent="0.25">
      <c r="C521" s="74"/>
    </row>
    <row r="522" spans="3:3" x14ac:dyDescent="0.25">
      <c r="C522" s="74"/>
    </row>
    <row r="523" spans="3:3" x14ac:dyDescent="0.25">
      <c r="C523" s="74"/>
    </row>
    <row r="524" spans="3:3" x14ac:dyDescent="0.25">
      <c r="C524" s="74"/>
    </row>
    <row r="525" spans="3:3" x14ac:dyDescent="0.25">
      <c r="C525" s="74"/>
    </row>
    <row r="526" spans="3:3" x14ac:dyDescent="0.25">
      <c r="C526" s="74"/>
    </row>
    <row r="527" spans="3:3" x14ac:dyDescent="0.25">
      <c r="C527" s="74"/>
    </row>
    <row r="528" spans="3:3" x14ac:dyDescent="0.25">
      <c r="C528" s="74"/>
    </row>
    <row r="529" spans="3:3" x14ac:dyDescent="0.25">
      <c r="C529" s="74"/>
    </row>
    <row r="530" spans="3:3" x14ac:dyDescent="0.25">
      <c r="C530" s="74"/>
    </row>
    <row r="531" spans="3:3" x14ac:dyDescent="0.25">
      <c r="C531" s="74"/>
    </row>
    <row r="532" spans="3:3" x14ac:dyDescent="0.25">
      <c r="C532" s="74"/>
    </row>
    <row r="533" spans="3:3" x14ac:dyDescent="0.25">
      <c r="C533" s="74"/>
    </row>
    <row r="534" spans="3:3" x14ac:dyDescent="0.25">
      <c r="C534" s="74"/>
    </row>
    <row r="535" spans="3:3" x14ac:dyDescent="0.25">
      <c r="C535" s="74"/>
    </row>
    <row r="536" spans="3:3" x14ac:dyDescent="0.25">
      <c r="C536" s="74"/>
    </row>
    <row r="537" spans="3:3" x14ac:dyDescent="0.25">
      <c r="C537" s="74"/>
    </row>
    <row r="538" spans="3:3" x14ac:dyDescent="0.25">
      <c r="C538" s="74"/>
    </row>
    <row r="539" spans="3:3" x14ac:dyDescent="0.25">
      <c r="C539" s="74"/>
    </row>
    <row r="540" spans="3:3" x14ac:dyDescent="0.25">
      <c r="C540" s="74"/>
    </row>
    <row r="541" spans="3:3" x14ac:dyDescent="0.25">
      <c r="C541" s="74"/>
    </row>
    <row r="542" spans="3:3" x14ac:dyDescent="0.25">
      <c r="C542" s="74"/>
    </row>
    <row r="543" spans="3:3" x14ac:dyDescent="0.25">
      <c r="C543" s="74"/>
    </row>
    <row r="544" spans="3:3" x14ac:dyDescent="0.25">
      <c r="C544" s="74"/>
    </row>
    <row r="545" spans="3:3" x14ac:dyDescent="0.25">
      <c r="C545" s="74"/>
    </row>
    <row r="546" spans="3:3" x14ac:dyDescent="0.25">
      <c r="C546" s="74"/>
    </row>
    <row r="547" spans="3:3" x14ac:dyDescent="0.25">
      <c r="C547" s="74"/>
    </row>
    <row r="548" spans="3:3" x14ac:dyDescent="0.25">
      <c r="C548" s="74"/>
    </row>
    <row r="549" spans="3:3" x14ac:dyDescent="0.25">
      <c r="C549" s="74"/>
    </row>
    <row r="550" spans="3:3" x14ac:dyDescent="0.25">
      <c r="C550" s="74"/>
    </row>
    <row r="551" spans="3:3" x14ac:dyDescent="0.25">
      <c r="C551" s="74"/>
    </row>
    <row r="552" spans="3:3" x14ac:dyDescent="0.25">
      <c r="C552" s="74"/>
    </row>
    <row r="553" spans="3:3" x14ac:dyDescent="0.25">
      <c r="C553" s="74"/>
    </row>
    <row r="554" spans="3:3" x14ac:dyDescent="0.25">
      <c r="C554" s="74"/>
    </row>
    <row r="555" spans="3:3" x14ac:dyDescent="0.25">
      <c r="C555" s="74"/>
    </row>
    <row r="556" spans="3:3" x14ac:dyDescent="0.25">
      <c r="C556" s="74"/>
    </row>
    <row r="557" spans="3:3" x14ac:dyDescent="0.25">
      <c r="C557" s="74"/>
    </row>
    <row r="558" spans="3:3" x14ac:dyDescent="0.25">
      <c r="C558" s="74"/>
    </row>
    <row r="559" spans="3:3" x14ac:dyDescent="0.25">
      <c r="C559" s="74"/>
    </row>
    <row r="560" spans="3:3" x14ac:dyDescent="0.25">
      <c r="C560" s="74"/>
    </row>
    <row r="561" spans="3:3" x14ac:dyDescent="0.25">
      <c r="C561" s="74"/>
    </row>
    <row r="562" spans="3:3" x14ac:dyDescent="0.25">
      <c r="C562" s="74"/>
    </row>
    <row r="563" spans="3:3" x14ac:dyDescent="0.25">
      <c r="C563" s="74"/>
    </row>
    <row r="564" spans="3:3" x14ac:dyDescent="0.25">
      <c r="C564" s="74"/>
    </row>
    <row r="565" spans="3:3" x14ac:dyDescent="0.25">
      <c r="C565" s="74"/>
    </row>
    <row r="566" spans="3:3" x14ac:dyDescent="0.25">
      <c r="C566" s="74"/>
    </row>
    <row r="567" spans="3:3" x14ac:dyDescent="0.25">
      <c r="C567" s="74"/>
    </row>
    <row r="568" spans="3:3" x14ac:dyDescent="0.25">
      <c r="C568" s="74"/>
    </row>
    <row r="569" spans="3:3" x14ac:dyDescent="0.25">
      <c r="C569" s="74"/>
    </row>
    <row r="570" spans="3:3" x14ac:dyDescent="0.25">
      <c r="C570" s="74"/>
    </row>
    <row r="571" spans="3:3" x14ac:dyDescent="0.25">
      <c r="C571" s="74"/>
    </row>
    <row r="572" spans="3:3" x14ac:dyDescent="0.25">
      <c r="C572" s="74"/>
    </row>
    <row r="573" spans="3:3" x14ac:dyDescent="0.25">
      <c r="C573" s="74"/>
    </row>
    <row r="574" spans="3:3" x14ac:dyDescent="0.25">
      <c r="C574" s="74"/>
    </row>
    <row r="575" spans="3:3" x14ac:dyDescent="0.25">
      <c r="C575" s="74"/>
    </row>
    <row r="576" spans="3:3" x14ac:dyDescent="0.25">
      <c r="C576" s="74"/>
    </row>
    <row r="577" spans="3:3" x14ac:dyDescent="0.25">
      <c r="C577" s="74"/>
    </row>
    <row r="578" spans="3:3" x14ac:dyDescent="0.25">
      <c r="C578" s="74"/>
    </row>
    <row r="579" spans="3:3" x14ac:dyDescent="0.25">
      <c r="C579" s="74"/>
    </row>
    <row r="580" spans="3:3" x14ac:dyDescent="0.25">
      <c r="C580" s="74"/>
    </row>
    <row r="581" spans="3:3" x14ac:dyDescent="0.25">
      <c r="C581" s="74"/>
    </row>
    <row r="582" spans="3:3" x14ac:dyDescent="0.25">
      <c r="C582" s="74"/>
    </row>
    <row r="583" spans="3:3" x14ac:dyDescent="0.25">
      <c r="C583" s="74"/>
    </row>
    <row r="584" spans="3:3" x14ac:dyDescent="0.25">
      <c r="C584" s="74"/>
    </row>
    <row r="585" spans="3:3" x14ac:dyDescent="0.25">
      <c r="C585" s="74"/>
    </row>
    <row r="586" spans="3:3" x14ac:dyDescent="0.25">
      <c r="C586" s="74"/>
    </row>
    <row r="587" spans="3:3" x14ac:dyDescent="0.25">
      <c r="C587" s="74"/>
    </row>
    <row r="588" spans="3:3" x14ac:dyDescent="0.25">
      <c r="C588" s="74"/>
    </row>
    <row r="589" spans="3:3" x14ac:dyDescent="0.25">
      <c r="C589" s="74"/>
    </row>
    <row r="590" spans="3:3" x14ac:dyDescent="0.25">
      <c r="C590" s="74"/>
    </row>
    <row r="591" spans="3:3" x14ac:dyDescent="0.25">
      <c r="C591" s="74"/>
    </row>
    <row r="592" spans="3:3" x14ac:dyDescent="0.25">
      <c r="C592" s="74"/>
    </row>
    <row r="593" spans="3:3" x14ac:dyDescent="0.25">
      <c r="C593" s="74"/>
    </row>
    <row r="594" spans="3:3" x14ac:dyDescent="0.25">
      <c r="C594" s="74"/>
    </row>
    <row r="595" spans="3:3" x14ac:dyDescent="0.25">
      <c r="C595" s="74"/>
    </row>
    <row r="596" spans="3:3" x14ac:dyDescent="0.25">
      <c r="C596" s="74"/>
    </row>
    <row r="597" spans="3:3" x14ac:dyDescent="0.25">
      <c r="C597" s="74"/>
    </row>
    <row r="598" spans="3:3" x14ac:dyDescent="0.25">
      <c r="C598" s="74"/>
    </row>
    <row r="599" spans="3:3" x14ac:dyDescent="0.25">
      <c r="C599" s="74"/>
    </row>
    <row r="600" spans="3:3" x14ac:dyDescent="0.25">
      <c r="C600" s="74"/>
    </row>
    <row r="601" spans="3:3" x14ac:dyDescent="0.25">
      <c r="C601" s="74"/>
    </row>
    <row r="602" spans="3:3" x14ac:dyDescent="0.25">
      <c r="C602" s="74"/>
    </row>
    <row r="603" spans="3:3" x14ac:dyDescent="0.25">
      <c r="C603" s="74"/>
    </row>
    <row r="604" spans="3:3" x14ac:dyDescent="0.25">
      <c r="C604" s="74"/>
    </row>
    <row r="605" spans="3:3" x14ac:dyDescent="0.25">
      <c r="C605" s="74"/>
    </row>
    <row r="606" spans="3:3" x14ac:dyDescent="0.25">
      <c r="C606" s="74"/>
    </row>
    <row r="607" spans="3:3" x14ac:dyDescent="0.25">
      <c r="C607" s="74"/>
    </row>
    <row r="608" spans="3:3" x14ac:dyDescent="0.25">
      <c r="C608" s="74"/>
    </row>
    <row r="609" spans="3:3" x14ac:dyDescent="0.25">
      <c r="C609" s="74"/>
    </row>
    <row r="610" spans="3:3" x14ac:dyDescent="0.25">
      <c r="C610" s="74"/>
    </row>
    <row r="611" spans="3:3" x14ac:dyDescent="0.25">
      <c r="C611" s="74"/>
    </row>
    <row r="612" spans="3:3" x14ac:dyDescent="0.25">
      <c r="C612" s="74"/>
    </row>
    <row r="613" spans="3:3" x14ac:dyDescent="0.25">
      <c r="C613" s="74"/>
    </row>
    <row r="614" spans="3:3" x14ac:dyDescent="0.25">
      <c r="C614" s="74"/>
    </row>
    <row r="615" spans="3:3" x14ac:dyDescent="0.25">
      <c r="C615" s="74"/>
    </row>
    <row r="616" spans="3:3" x14ac:dyDescent="0.25">
      <c r="C616" s="74"/>
    </row>
    <row r="617" spans="3:3" x14ac:dyDescent="0.25">
      <c r="C617" s="74"/>
    </row>
    <row r="618" spans="3:3" x14ac:dyDescent="0.25">
      <c r="C618" s="74"/>
    </row>
    <row r="619" spans="3:3" x14ac:dyDescent="0.25">
      <c r="C619" s="74"/>
    </row>
    <row r="620" spans="3:3" x14ac:dyDescent="0.25">
      <c r="C620" s="74"/>
    </row>
    <row r="621" spans="3:3" x14ac:dyDescent="0.25">
      <c r="C621" s="74"/>
    </row>
    <row r="622" spans="3:3" x14ac:dyDescent="0.25">
      <c r="C622" s="74"/>
    </row>
    <row r="623" spans="3:3" x14ac:dyDescent="0.25">
      <c r="C623" s="74"/>
    </row>
    <row r="624" spans="3:3" x14ac:dyDescent="0.25">
      <c r="C624" s="74"/>
    </row>
    <row r="625" spans="3:3" x14ac:dyDescent="0.25">
      <c r="C625" s="74"/>
    </row>
    <row r="626" spans="3:3" x14ac:dyDescent="0.25">
      <c r="C626" s="74"/>
    </row>
    <row r="627" spans="3:3" x14ac:dyDescent="0.25">
      <c r="C627" s="74"/>
    </row>
    <row r="628" spans="3:3" x14ac:dyDescent="0.25">
      <c r="C628" s="74"/>
    </row>
    <row r="629" spans="3:3" x14ac:dyDescent="0.25">
      <c r="C629" s="74"/>
    </row>
    <row r="630" spans="3:3" x14ac:dyDescent="0.25">
      <c r="C630" s="74"/>
    </row>
    <row r="631" spans="3:3" x14ac:dyDescent="0.25">
      <c r="C631" s="74"/>
    </row>
    <row r="632" spans="3:3" x14ac:dyDescent="0.25">
      <c r="C632" s="74"/>
    </row>
    <row r="633" spans="3:3" x14ac:dyDescent="0.25">
      <c r="C633" s="74"/>
    </row>
    <row r="634" spans="3:3" x14ac:dyDescent="0.25">
      <c r="C634" s="74"/>
    </row>
    <row r="635" spans="3:3" x14ac:dyDescent="0.25">
      <c r="C635" s="74"/>
    </row>
    <row r="636" spans="3:3" x14ac:dyDescent="0.25">
      <c r="C636" s="74"/>
    </row>
    <row r="637" spans="3:3" x14ac:dyDescent="0.25">
      <c r="C637" s="74"/>
    </row>
    <row r="638" spans="3:3" x14ac:dyDescent="0.25">
      <c r="C638" s="74"/>
    </row>
    <row r="639" spans="3:3" x14ac:dyDescent="0.25">
      <c r="C639" s="74"/>
    </row>
    <row r="640" spans="3:3" x14ac:dyDescent="0.25">
      <c r="C640" s="74"/>
    </row>
    <row r="641" spans="3:3" x14ac:dyDescent="0.25">
      <c r="C641" s="74"/>
    </row>
    <row r="642" spans="3:3" x14ac:dyDescent="0.25">
      <c r="C642" s="74"/>
    </row>
    <row r="643" spans="3:3" x14ac:dyDescent="0.25">
      <c r="C643" s="74"/>
    </row>
    <row r="644" spans="3:3" x14ac:dyDescent="0.25">
      <c r="C644" s="74"/>
    </row>
    <row r="645" spans="3:3" x14ac:dyDescent="0.25">
      <c r="C645" s="74"/>
    </row>
    <row r="646" spans="3:3" x14ac:dyDescent="0.25">
      <c r="C646" s="74"/>
    </row>
    <row r="647" spans="3:3" x14ac:dyDescent="0.25">
      <c r="C647" s="74"/>
    </row>
    <row r="648" spans="3:3" x14ac:dyDescent="0.25">
      <c r="C648" s="74"/>
    </row>
    <row r="649" spans="3:3" x14ac:dyDescent="0.25">
      <c r="C649" s="74"/>
    </row>
    <row r="650" spans="3:3" x14ac:dyDescent="0.25">
      <c r="C650" s="74"/>
    </row>
    <row r="651" spans="3:3" x14ac:dyDescent="0.25">
      <c r="C651" s="74"/>
    </row>
    <row r="652" spans="3:3" x14ac:dyDescent="0.25">
      <c r="C652" s="74"/>
    </row>
    <row r="653" spans="3:3" x14ac:dyDescent="0.25">
      <c r="C653" s="74"/>
    </row>
    <row r="654" spans="3:3" x14ac:dyDescent="0.25">
      <c r="C654" s="74"/>
    </row>
    <row r="655" spans="3:3" x14ac:dyDescent="0.25">
      <c r="C655" s="74"/>
    </row>
    <row r="656" spans="3:3" x14ac:dyDescent="0.25">
      <c r="C656" s="74"/>
    </row>
    <row r="657" spans="3:3" x14ac:dyDescent="0.25">
      <c r="C657" s="74"/>
    </row>
    <row r="658" spans="3:3" x14ac:dyDescent="0.25">
      <c r="C658" s="74"/>
    </row>
    <row r="659" spans="3:3" x14ac:dyDescent="0.25">
      <c r="C659" s="74"/>
    </row>
    <row r="660" spans="3:3" x14ac:dyDescent="0.25">
      <c r="C660" s="74"/>
    </row>
    <row r="661" spans="3:3" x14ac:dyDescent="0.25">
      <c r="C661" s="74"/>
    </row>
    <row r="662" spans="3:3" x14ac:dyDescent="0.25">
      <c r="C662" s="74"/>
    </row>
    <row r="663" spans="3:3" x14ac:dyDescent="0.25">
      <c r="C663" s="74"/>
    </row>
    <row r="664" spans="3:3" x14ac:dyDescent="0.25">
      <c r="C664" s="74"/>
    </row>
    <row r="665" spans="3:3" x14ac:dyDescent="0.25">
      <c r="C665" s="74"/>
    </row>
    <row r="666" spans="3:3" x14ac:dyDescent="0.25">
      <c r="C666" s="74"/>
    </row>
    <row r="667" spans="3:3" x14ac:dyDescent="0.25">
      <c r="C667" s="74"/>
    </row>
    <row r="668" spans="3:3" x14ac:dyDescent="0.25">
      <c r="C668" s="74"/>
    </row>
    <row r="669" spans="3:3" x14ac:dyDescent="0.25">
      <c r="C669" s="74"/>
    </row>
    <row r="670" spans="3:3" x14ac:dyDescent="0.25">
      <c r="C670" s="74"/>
    </row>
    <row r="671" spans="3:3" x14ac:dyDescent="0.25">
      <c r="C671" s="74"/>
    </row>
    <row r="672" spans="3:3" x14ac:dyDescent="0.25">
      <c r="C672" s="74"/>
    </row>
    <row r="673" spans="3:3" x14ac:dyDescent="0.25">
      <c r="C673" s="74"/>
    </row>
    <row r="674" spans="3:3" x14ac:dyDescent="0.25">
      <c r="C674" s="74"/>
    </row>
    <row r="675" spans="3:3" x14ac:dyDescent="0.25">
      <c r="C675" s="74"/>
    </row>
    <row r="676" spans="3:3" x14ac:dyDescent="0.25">
      <c r="C676" s="74"/>
    </row>
    <row r="677" spans="3:3" x14ac:dyDescent="0.25">
      <c r="C677" s="74"/>
    </row>
    <row r="678" spans="3:3" x14ac:dyDescent="0.25">
      <c r="C678" s="74"/>
    </row>
    <row r="679" spans="3:3" x14ac:dyDescent="0.25">
      <c r="C679" s="74"/>
    </row>
    <row r="680" spans="3:3" x14ac:dyDescent="0.25">
      <c r="C680" s="74"/>
    </row>
    <row r="681" spans="3:3" x14ac:dyDescent="0.25">
      <c r="C681" s="74"/>
    </row>
    <row r="682" spans="3:3" x14ac:dyDescent="0.25">
      <c r="C682" s="74"/>
    </row>
    <row r="683" spans="3:3" x14ac:dyDescent="0.25">
      <c r="C683" s="74"/>
    </row>
    <row r="684" spans="3:3" x14ac:dyDescent="0.25">
      <c r="C684" s="74"/>
    </row>
    <row r="685" spans="3:3" x14ac:dyDescent="0.25">
      <c r="C685" s="74"/>
    </row>
    <row r="686" spans="3:3" x14ac:dyDescent="0.25">
      <c r="C686" s="74"/>
    </row>
    <row r="687" spans="3:3" x14ac:dyDescent="0.25">
      <c r="C687" s="74"/>
    </row>
    <row r="688" spans="3:3" x14ac:dyDescent="0.25">
      <c r="C688" s="74"/>
    </row>
    <row r="689" spans="3:3" x14ac:dyDescent="0.25">
      <c r="C689" s="74"/>
    </row>
    <row r="690" spans="3:3" x14ac:dyDescent="0.25">
      <c r="C690" s="74"/>
    </row>
    <row r="691" spans="3:3" x14ac:dyDescent="0.25">
      <c r="C691" s="74"/>
    </row>
    <row r="692" spans="3:3" x14ac:dyDescent="0.25">
      <c r="C692" s="74"/>
    </row>
    <row r="693" spans="3:3" x14ac:dyDescent="0.25">
      <c r="C693" s="74"/>
    </row>
    <row r="694" spans="3:3" x14ac:dyDescent="0.25">
      <c r="C694" s="74"/>
    </row>
    <row r="695" spans="3:3" x14ac:dyDescent="0.25">
      <c r="C695" s="74"/>
    </row>
    <row r="696" spans="3:3" x14ac:dyDescent="0.25">
      <c r="C696" s="74"/>
    </row>
    <row r="697" spans="3:3" x14ac:dyDescent="0.25">
      <c r="C697" s="74"/>
    </row>
    <row r="698" spans="3:3" x14ac:dyDescent="0.25">
      <c r="C698" s="74"/>
    </row>
    <row r="699" spans="3:3" x14ac:dyDescent="0.25">
      <c r="C699" s="74"/>
    </row>
    <row r="700" spans="3:3" x14ac:dyDescent="0.25">
      <c r="C700" s="74"/>
    </row>
    <row r="701" spans="3:3" x14ac:dyDescent="0.25">
      <c r="C701" s="74"/>
    </row>
    <row r="702" spans="3:3" x14ac:dyDescent="0.25">
      <c r="C702" s="74"/>
    </row>
    <row r="703" spans="3:3" x14ac:dyDescent="0.25">
      <c r="C703" s="74"/>
    </row>
    <row r="704" spans="3:3" x14ac:dyDescent="0.25">
      <c r="C704" s="74"/>
    </row>
    <row r="705" spans="3:3" x14ac:dyDescent="0.25">
      <c r="C705" s="74"/>
    </row>
    <row r="706" spans="3:3" x14ac:dyDescent="0.25">
      <c r="C706" s="74"/>
    </row>
    <row r="707" spans="3:3" x14ac:dyDescent="0.25">
      <c r="C707" s="74"/>
    </row>
    <row r="708" spans="3:3" x14ac:dyDescent="0.25">
      <c r="C708" s="74"/>
    </row>
    <row r="709" spans="3:3" x14ac:dyDescent="0.25">
      <c r="C709" s="74"/>
    </row>
    <row r="710" spans="3:3" x14ac:dyDescent="0.25">
      <c r="C710" s="74"/>
    </row>
    <row r="711" spans="3:3" x14ac:dyDescent="0.25">
      <c r="C711" s="74"/>
    </row>
    <row r="712" spans="3:3" x14ac:dyDescent="0.25">
      <c r="C712" s="74"/>
    </row>
    <row r="713" spans="3:3" x14ac:dyDescent="0.25">
      <c r="C713" s="74"/>
    </row>
    <row r="714" spans="3:3" x14ac:dyDescent="0.25">
      <c r="C714" s="74"/>
    </row>
    <row r="715" spans="3:3" x14ac:dyDescent="0.25">
      <c r="C715" s="74"/>
    </row>
    <row r="716" spans="3:3" x14ac:dyDescent="0.25">
      <c r="C716" s="74"/>
    </row>
    <row r="717" spans="3:3" x14ac:dyDescent="0.25">
      <c r="C717" s="74"/>
    </row>
    <row r="718" spans="3:3" x14ac:dyDescent="0.25">
      <c r="C718" s="74"/>
    </row>
    <row r="719" spans="3:3" x14ac:dyDescent="0.25">
      <c r="C719" s="74"/>
    </row>
    <row r="720" spans="3:3" x14ac:dyDescent="0.25">
      <c r="C720" s="74"/>
    </row>
    <row r="721" spans="3:3" x14ac:dyDescent="0.25">
      <c r="C721" s="74"/>
    </row>
    <row r="722" spans="3:3" x14ac:dyDescent="0.25">
      <c r="C722" s="74"/>
    </row>
    <row r="723" spans="3:3" x14ac:dyDescent="0.25">
      <c r="C723" s="74"/>
    </row>
    <row r="724" spans="3:3" x14ac:dyDescent="0.25">
      <c r="C724" s="74"/>
    </row>
    <row r="725" spans="3:3" x14ac:dyDescent="0.25">
      <c r="C725" s="74"/>
    </row>
    <row r="726" spans="3:3" x14ac:dyDescent="0.25">
      <c r="C726" s="74"/>
    </row>
    <row r="727" spans="3:3" x14ac:dyDescent="0.25">
      <c r="C727" s="74"/>
    </row>
    <row r="728" spans="3:3" x14ac:dyDescent="0.25">
      <c r="C728" s="74"/>
    </row>
    <row r="729" spans="3:3" x14ac:dyDescent="0.25">
      <c r="C729" s="74"/>
    </row>
    <row r="730" spans="3:3" x14ac:dyDescent="0.25">
      <c r="C730" s="74"/>
    </row>
    <row r="731" spans="3:3" x14ac:dyDescent="0.25">
      <c r="C731" s="74"/>
    </row>
    <row r="732" spans="3:3" x14ac:dyDescent="0.25">
      <c r="C732" s="74"/>
    </row>
    <row r="733" spans="3:3" x14ac:dyDescent="0.25">
      <c r="C733" s="74"/>
    </row>
    <row r="734" spans="3:3" x14ac:dyDescent="0.25">
      <c r="C734" s="74"/>
    </row>
    <row r="735" spans="3:3" x14ac:dyDescent="0.25">
      <c r="C735" s="74"/>
    </row>
    <row r="736" spans="3:3" x14ac:dyDescent="0.25">
      <c r="C736" s="74"/>
    </row>
    <row r="737" spans="3:3" x14ac:dyDescent="0.25">
      <c r="C737" s="74"/>
    </row>
    <row r="738" spans="3:3" x14ac:dyDescent="0.25">
      <c r="C738" s="74"/>
    </row>
    <row r="739" spans="3:3" x14ac:dyDescent="0.25">
      <c r="C739" s="74"/>
    </row>
    <row r="740" spans="3:3" x14ac:dyDescent="0.25">
      <c r="C740" s="74"/>
    </row>
    <row r="741" spans="3:3" x14ac:dyDescent="0.25">
      <c r="C741" s="74"/>
    </row>
    <row r="742" spans="3:3" x14ac:dyDescent="0.25">
      <c r="C742" s="74"/>
    </row>
    <row r="743" spans="3:3" x14ac:dyDescent="0.25">
      <c r="C743" s="74"/>
    </row>
    <row r="744" spans="3:3" x14ac:dyDescent="0.25">
      <c r="C744" s="74"/>
    </row>
    <row r="745" spans="3:3" x14ac:dyDescent="0.25">
      <c r="C745" s="74"/>
    </row>
    <row r="746" spans="3:3" x14ac:dyDescent="0.25">
      <c r="C746" s="74"/>
    </row>
    <row r="747" spans="3:3" x14ac:dyDescent="0.25">
      <c r="C747" s="74"/>
    </row>
    <row r="748" spans="3:3" x14ac:dyDescent="0.25">
      <c r="C748" s="74"/>
    </row>
    <row r="749" spans="3:3" x14ac:dyDescent="0.25">
      <c r="C749" s="74"/>
    </row>
    <row r="750" spans="3:3" x14ac:dyDescent="0.25">
      <c r="C750" s="74"/>
    </row>
    <row r="751" spans="3:3" x14ac:dyDescent="0.25">
      <c r="C751" s="74"/>
    </row>
    <row r="752" spans="3:3" x14ac:dyDescent="0.25">
      <c r="C752" s="74"/>
    </row>
    <row r="753" spans="3:3" x14ac:dyDescent="0.25">
      <c r="C753" s="74"/>
    </row>
    <row r="754" spans="3:3" x14ac:dyDescent="0.25">
      <c r="C754" s="74"/>
    </row>
    <row r="755" spans="3:3" x14ac:dyDescent="0.25">
      <c r="C755" s="74"/>
    </row>
    <row r="756" spans="3:3" x14ac:dyDescent="0.25">
      <c r="C756" s="74"/>
    </row>
    <row r="757" spans="3:3" x14ac:dyDescent="0.25">
      <c r="C757" s="74"/>
    </row>
    <row r="758" spans="3:3" x14ac:dyDescent="0.25">
      <c r="C758" s="74"/>
    </row>
    <row r="759" spans="3:3" x14ac:dyDescent="0.25">
      <c r="C759" s="74"/>
    </row>
    <row r="760" spans="3:3" x14ac:dyDescent="0.25">
      <c r="C760" s="74"/>
    </row>
    <row r="761" spans="3:3" x14ac:dyDescent="0.25">
      <c r="C761" s="74"/>
    </row>
    <row r="762" spans="3:3" x14ac:dyDescent="0.25">
      <c r="C762" s="74"/>
    </row>
    <row r="763" spans="3:3" x14ac:dyDescent="0.25">
      <c r="C763" s="74"/>
    </row>
    <row r="764" spans="3:3" x14ac:dyDescent="0.25">
      <c r="C764" s="74"/>
    </row>
    <row r="765" spans="3:3" x14ac:dyDescent="0.25">
      <c r="C765" s="74"/>
    </row>
    <row r="766" spans="3:3" x14ac:dyDescent="0.25">
      <c r="C766" s="74"/>
    </row>
    <row r="767" spans="3:3" x14ac:dyDescent="0.25">
      <c r="C767" s="74"/>
    </row>
    <row r="768" spans="3:3" x14ac:dyDescent="0.25">
      <c r="C768" s="74"/>
    </row>
    <row r="769" spans="3:3" x14ac:dyDescent="0.25">
      <c r="C769" s="74"/>
    </row>
    <row r="770" spans="3:3" x14ac:dyDescent="0.25">
      <c r="C770" s="74"/>
    </row>
    <row r="771" spans="3:3" x14ac:dyDescent="0.25">
      <c r="C771" s="74"/>
    </row>
    <row r="772" spans="3:3" x14ac:dyDescent="0.25">
      <c r="C772" s="74"/>
    </row>
    <row r="773" spans="3:3" x14ac:dyDescent="0.25">
      <c r="C773" s="74"/>
    </row>
    <row r="774" spans="3:3" x14ac:dyDescent="0.25">
      <c r="C774" s="74"/>
    </row>
    <row r="775" spans="3:3" x14ac:dyDescent="0.25">
      <c r="C775" s="74"/>
    </row>
    <row r="776" spans="3:3" x14ac:dyDescent="0.25">
      <c r="C776" s="74"/>
    </row>
    <row r="777" spans="3:3" x14ac:dyDescent="0.25">
      <c r="C777" s="74"/>
    </row>
    <row r="778" spans="3:3" x14ac:dyDescent="0.25">
      <c r="C778" s="74"/>
    </row>
    <row r="779" spans="3:3" x14ac:dyDescent="0.25">
      <c r="C779" s="74"/>
    </row>
    <row r="780" spans="3:3" x14ac:dyDescent="0.25">
      <c r="C780" s="74"/>
    </row>
    <row r="781" spans="3:3" x14ac:dyDescent="0.25">
      <c r="C781" s="74"/>
    </row>
    <row r="782" spans="3:3" x14ac:dyDescent="0.25">
      <c r="C782" s="74"/>
    </row>
    <row r="783" spans="3:3" x14ac:dyDescent="0.25">
      <c r="C783" s="74"/>
    </row>
    <row r="784" spans="3:3" x14ac:dyDescent="0.25">
      <c r="C784" s="74"/>
    </row>
    <row r="785" spans="3:3" x14ac:dyDescent="0.25">
      <c r="C785" s="74"/>
    </row>
    <row r="786" spans="3:3" x14ac:dyDescent="0.25">
      <c r="C786" s="74"/>
    </row>
    <row r="787" spans="3:3" x14ac:dyDescent="0.25">
      <c r="C787" s="74"/>
    </row>
    <row r="788" spans="3:3" x14ac:dyDescent="0.25">
      <c r="C788" s="74"/>
    </row>
    <row r="789" spans="3:3" x14ac:dyDescent="0.25">
      <c r="C789" s="74"/>
    </row>
    <row r="790" spans="3:3" x14ac:dyDescent="0.25">
      <c r="C790" s="74"/>
    </row>
    <row r="791" spans="3:3" x14ac:dyDescent="0.25">
      <c r="C791" s="74"/>
    </row>
    <row r="792" spans="3:3" x14ac:dyDescent="0.25">
      <c r="C792" s="74"/>
    </row>
    <row r="793" spans="3:3" x14ac:dyDescent="0.25">
      <c r="C793" s="74"/>
    </row>
    <row r="794" spans="3:3" x14ac:dyDescent="0.25">
      <c r="C794" s="74"/>
    </row>
    <row r="795" spans="3:3" x14ac:dyDescent="0.25">
      <c r="C795" s="74"/>
    </row>
    <row r="796" spans="3:3" x14ac:dyDescent="0.25">
      <c r="C796" s="74"/>
    </row>
    <row r="797" spans="3:3" x14ac:dyDescent="0.25">
      <c r="C797" s="74"/>
    </row>
    <row r="798" spans="3:3" x14ac:dyDescent="0.25">
      <c r="C798" s="74"/>
    </row>
    <row r="799" spans="3:3" x14ac:dyDescent="0.25">
      <c r="C799" s="74"/>
    </row>
    <row r="800" spans="3:3" x14ac:dyDescent="0.25">
      <c r="C800" s="74"/>
    </row>
    <row r="801" spans="3:3" x14ac:dyDescent="0.25">
      <c r="C801" s="74"/>
    </row>
    <row r="802" spans="3:3" x14ac:dyDescent="0.25">
      <c r="C802" s="74"/>
    </row>
    <row r="803" spans="3:3" x14ac:dyDescent="0.25">
      <c r="C803" s="74"/>
    </row>
    <row r="804" spans="3:3" x14ac:dyDescent="0.25">
      <c r="C804" s="74"/>
    </row>
    <row r="805" spans="3:3" x14ac:dyDescent="0.25">
      <c r="C805" s="74"/>
    </row>
    <row r="806" spans="3:3" x14ac:dyDescent="0.25">
      <c r="C806" s="74"/>
    </row>
    <row r="807" spans="3:3" x14ac:dyDescent="0.25">
      <c r="C807" s="74"/>
    </row>
    <row r="808" spans="3:3" x14ac:dyDescent="0.25">
      <c r="C808" s="74"/>
    </row>
    <row r="809" spans="3:3" x14ac:dyDescent="0.25">
      <c r="C809" s="74"/>
    </row>
    <row r="810" spans="3:3" x14ac:dyDescent="0.25">
      <c r="C810" s="74"/>
    </row>
    <row r="811" spans="3:3" x14ac:dyDescent="0.25">
      <c r="C811" s="74"/>
    </row>
    <row r="812" spans="3:3" x14ac:dyDescent="0.25">
      <c r="C812" s="74"/>
    </row>
    <row r="813" spans="3:3" x14ac:dyDescent="0.25">
      <c r="C813" s="74"/>
    </row>
    <row r="814" spans="3:3" x14ac:dyDescent="0.25">
      <c r="C814" s="74"/>
    </row>
    <row r="815" spans="3:3" x14ac:dyDescent="0.25">
      <c r="C815" s="74"/>
    </row>
    <row r="816" spans="3:3" x14ac:dyDescent="0.25">
      <c r="C816" s="74"/>
    </row>
    <row r="817" spans="3:3" x14ac:dyDescent="0.25">
      <c r="C817" s="74"/>
    </row>
    <row r="818" spans="3:3" x14ac:dyDescent="0.25">
      <c r="C818" s="74"/>
    </row>
    <row r="819" spans="3:3" x14ac:dyDescent="0.25">
      <c r="C819" s="74"/>
    </row>
    <row r="820" spans="3:3" x14ac:dyDescent="0.25">
      <c r="C820" s="74"/>
    </row>
    <row r="821" spans="3:3" x14ac:dyDescent="0.25">
      <c r="C821" s="74"/>
    </row>
    <row r="822" spans="3:3" x14ac:dyDescent="0.25">
      <c r="C822" s="74"/>
    </row>
    <row r="823" spans="3:3" x14ac:dyDescent="0.25">
      <c r="C823" s="74"/>
    </row>
    <row r="824" spans="3:3" x14ac:dyDescent="0.25">
      <c r="C824" s="74"/>
    </row>
    <row r="825" spans="3:3" x14ac:dyDescent="0.25">
      <c r="C825" s="74"/>
    </row>
    <row r="826" spans="3:3" x14ac:dyDescent="0.25">
      <c r="C826" s="74"/>
    </row>
    <row r="827" spans="3:3" x14ac:dyDescent="0.25">
      <c r="C827" s="74"/>
    </row>
    <row r="828" spans="3:3" x14ac:dyDescent="0.25">
      <c r="C828" s="74"/>
    </row>
    <row r="829" spans="3:3" x14ac:dyDescent="0.25">
      <c r="C829" s="74"/>
    </row>
    <row r="830" spans="3:3" x14ac:dyDescent="0.25">
      <c r="C830" s="74"/>
    </row>
    <row r="831" spans="3:3" x14ac:dyDescent="0.25">
      <c r="C831" s="74"/>
    </row>
    <row r="832" spans="3:3" x14ac:dyDescent="0.25">
      <c r="C832" s="74"/>
    </row>
    <row r="833" spans="3:3" x14ac:dyDescent="0.25">
      <c r="C833" s="74"/>
    </row>
    <row r="834" spans="3:3" x14ac:dyDescent="0.25">
      <c r="C834" s="74"/>
    </row>
    <row r="835" spans="3:3" x14ac:dyDescent="0.25">
      <c r="C835" s="74"/>
    </row>
    <row r="836" spans="3:3" x14ac:dyDescent="0.25">
      <c r="C836" s="74"/>
    </row>
    <row r="837" spans="3:3" x14ac:dyDescent="0.25">
      <c r="C837" s="74"/>
    </row>
    <row r="838" spans="3:3" x14ac:dyDescent="0.25">
      <c r="C838" s="74"/>
    </row>
    <row r="839" spans="3:3" x14ac:dyDescent="0.25">
      <c r="C839" s="74"/>
    </row>
    <row r="840" spans="3:3" x14ac:dyDescent="0.25">
      <c r="C840" s="74"/>
    </row>
    <row r="841" spans="3:3" x14ac:dyDescent="0.25">
      <c r="C841" s="74"/>
    </row>
    <row r="842" spans="3:3" x14ac:dyDescent="0.25">
      <c r="C842" s="74"/>
    </row>
    <row r="843" spans="3:3" x14ac:dyDescent="0.25">
      <c r="C843" s="74"/>
    </row>
    <row r="844" spans="3:3" x14ac:dyDescent="0.25">
      <c r="C844" s="74"/>
    </row>
    <row r="845" spans="3:3" x14ac:dyDescent="0.25">
      <c r="C845" s="74"/>
    </row>
    <row r="846" spans="3:3" x14ac:dyDescent="0.25">
      <c r="C846" s="74"/>
    </row>
    <row r="847" spans="3:3" x14ac:dyDescent="0.25">
      <c r="C847" s="74"/>
    </row>
    <row r="848" spans="3:3" x14ac:dyDescent="0.25">
      <c r="C848" s="74"/>
    </row>
    <row r="849" spans="3:3" x14ac:dyDescent="0.25">
      <c r="C849" s="74"/>
    </row>
    <row r="850" spans="3:3" x14ac:dyDescent="0.25">
      <c r="C850" s="74"/>
    </row>
    <row r="851" spans="3:3" x14ac:dyDescent="0.25">
      <c r="C851" s="74"/>
    </row>
    <row r="852" spans="3:3" x14ac:dyDescent="0.25">
      <c r="C852" s="74"/>
    </row>
    <row r="853" spans="3:3" x14ac:dyDescent="0.25">
      <c r="C853" s="74"/>
    </row>
    <row r="854" spans="3:3" x14ac:dyDescent="0.25">
      <c r="C854" s="74"/>
    </row>
    <row r="855" spans="3:3" x14ac:dyDescent="0.25">
      <c r="C855" s="74"/>
    </row>
    <row r="856" spans="3:3" x14ac:dyDescent="0.25">
      <c r="C856" s="74"/>
    </row>
    <row r="857" spans="3:3" x14ac:dyDescent="0.25">
      <c r="C857" s="74"/>
    </row>
    <row r="858" spans="3:3" x14ac:dyDescent="0.25">
      <c r="C858" s="74"/>
    </row>
    <row r="859" spans="3:3" x14ac:dyDescent="0.25">
      <c r="C859" s="74"/>
    </row>
    <row r="860" spans="3:3" x14ac:dyDescent="0.25">
      <c r="C860" s="74"/>
    </row>
    <row r="861" spans="3:3" x14ac:dyDescent="0.25">
      <c r="C861" s="74"/>
    </row>
    <row r="862" spans="3:3" x14ac:dyDescent="0.25">
      <c r="C862" s="74"/>
    </row>
    <row r="863" spans="3:3" x14ac:dyDescent="0.25">
      <c r="C863" s="74"/>
    </row>
    <row r="864" spans="3:3" x14ac:dyDescent="0.25">
      <c r="C864" s="74"/>
    </row>
    <row r="865" spans="3:3" x14ac:dyDescent="0.25">
      <c r="C865" s="74"/>
    </row>
    <row r="866" spans="3:3" x14ac:dyDescent="0.25">
      <c r="C866" s="74"/>
    </row>
    <row r="867" spans="3:3" x14ac:dyDescent="0.25">
      <c r="C867" s="74"/>
    </row>
    <row r="868" spans="3:3" x14ac:dyDescent="0.25">
      <c r="C868" s="74"/>
    </row>
    <row r="869" spans="3:3" x14ac:dyDescent="0.25">
      <c r="C869" s="74"/>
    </row>
    <row r="870" spans="3:3" x14ac:dyDescent="0.25">
      <c r="C870" s="74"/>
    </row>
    <row r="871" spans="3:3" x14ac:dyDescent="0.25">
      <c r="C871" s="74"/>
    </row>
    <row r="872" spans="3:3" x14ac:dyDescent="0.25">
      <c r="C872" s="74"/>
    </row>
    <row r="873" spans="3:3" x14ac:dyDescent="0.25">
      <c r="C873" s="74"/>
    </row>
    <row r="874" spans="3:3" x14ac:dyDescent="0.25">
      <c r="C874" s="74"/>
    </row>
    <row r="875" spans="3:3" x14ac:dyDescent="0.25">
      <c r="C875" s="74"/>
    </row>
    <row r="876" spans="3:3" x14ac:dyDescent="0.25">
      <c r="C876" s="74"/>
    </row>
    <row r="877" spans="3:3" x14ac:dyDescent="0.25">
      <c r="C877" s="74"/>
    </row>
    <row r="878" spans="3:3" x14ac:dyDescent="0.25">
      <c r="C878" s="74"/>
    </row>
    <row r="879" spans="3:3" x14ac:dyDescent="0.25">
      <c r="C879" s="74"/>
    </row>
    <row r="880" spans="3:3" x14ac:dyDescent="0.25">
      <c r="C880" s="74"/>
    </row>
    <row r="881" spans="3:3" x14ac:dyDescent="0.25">
      <c r="C881" s="74"/>
    </row>
    <row r="882" spans="3:3" x14ac:dyDescent="0.25">
      <c r="C882" s="74"/>
    </row>
    <row r="883" spans="3:3" x14ac:dyDescent="0.25">
      <c r="C883" s="74"/>
    </row>
    <row r="884" spans="3:3" x14ac:dyDescent="0.25">
      <c r="C884" s="74"/>
    </row>
    <row r="885" spans="3:3" x14ac:dyDescent="0.25">
      <c r="C885" s="74"/>
    </row>
    <row r="886" spans="3:3" x14ac:dyDescent="0.25">
      <c r="C886" s="74"/>
    </row>
    <row r="887" spans="3:3" x14ac:dyDescent="0.25">
      <c r="C887" s="74"/>
    </row>
    <row r="888" spans="3:3" x14ac:dyDescent="0.25">
      <c r="C888" s="74"/>
    </row>
    <row r="889" spans="3:3" x14ac:dyDescent="0.25">
      <c r="C889" s="74"/>
    </row>
    <row r="890" spans="3:3" x14ac:dyDescent="0.25">
      <c r="C890" s="74"/>
    </row>
    <row r="891" spans="3:3" x14ac:dyDescent="0.25">
      <c r="C891" s="74"/>
    </row>
    <row r="892" spans="3:3" x14ac:dyDescent="0.25">
      <c r="C892" s="74"/>
    </row>
    <row r="893" spans="3:3" x14ac:dyDescent="0.25">
      <c r="C893" s="74"/>
    </row>
    <row r="894" spans="3:3" x14ac:dyDescent="0.25">
      <c r="C894" s="74"/>
    </row>
    <row r="895" spans="3:3" x14ac:dyDescent="0.25">
      <c r="C895" s="74"/>
    </row>
    <row r="896" spans="3:3" x14ac:dyDescent="0.25">
      <c r="C896" s="74"/>
    </row>
    <row r="897" spans="3:3" x14ac:dyDescent="0.25">
      <c r="C897" s="74"/>
    </row>
    <row r="898" spans="3:3" x14ac:dyDescent="0.25">
      <c r="C898" s="74"/>
    </row>
    <row r="899" spans="3:3" x14ac:dyDescent="0.25">
      <c r="C899" s="74"/>
    </row>
    <row r="900" spans="3:3" x14ac:dyDescent="0.25">
      <c r="C900" s="74"/>
    </row>
    <row r="901" spans="3:3" x14ac:dyDescent="0.25">
      <c r="C901" s="74"/>
    </row>
    <row r="902" spans="3:3" x14ac:dyDescent="0.25">
      <c r="C902" s="74"/>
    </row>
    <row r="903" spans="3:3" x14ac:dyDescent="0.25">
      <c r="C903" s="74"/>
    </row>
    <row r="904" spans="3:3" x14ac:dyDescent="0.25">
      <c r="C904" s="74"/>
    </row>
    <row r="905" spans="3:3" x14ac:dyDescent="0.25">
      <c r="C905" s="74"/>
    </row>
    <row r="906" spans="3:3" x14ac:dyDescent="0.25">
      <c r="C906" s="74"/>
    </row>
    <row r="907" spans="3:3" x14ac:dyDescent="0.25">
      <c r="C907" s="74"/>
    </row>
    <row r="908" spans="3:3" x14ac:dyDescent="0.25">
      <c r="C908" s="74"/>
    </row>
    <row r="909" spans="3:3" x14ac:dyDescent="0.25">
      <c r="C909" s="74"/>
    </row>
    <row r="910" spans="3:3" x14ac:dyDescent="0.25">
      <c r="C910" s="74"/>
    </row>
    <row r="911" spans="3:3" x14ac:dyDescent="0.25">
      <c r="C911" s="74"/>
    </row>
    <row r="912" spans="3:3" x14ac:dyDescent="0.25">
      <c r="C912" s="74"/>
    </row>
    <row r="913" spans="3:3" x14ac:dyDescent="0.25">
      <c r="C913" s="74"/>
    </row>
    <row r="914" spans="3:3" x14ac:dyDescent="0.25">
      <c r="C914" s="74"/>
    </row>
    <row r="915" spans="3:3" x14ac:dyDescent="0.25">
      <c r="C915" s="74"/>
    </row>
    <row r="916" spans="3:3" x14ac:dyDescent="0.25">
      <c r="C916" s="74"/>
    </row>
    <row r="917" spans="3:3" x14ac:dyDescent="0.25">
      <c r="C917" s="74"/>
    </row>
    <row r="918" spans="3:3" x14ac:dyDescent="0.25">
      <c r="C918" s="74"/>
    </row>
    <row r="919" spans="3:3" x14ac:dyDescent="0.25">
      <c r="C919" s="74"/>
    </row>
    <row r="920" spans="3:3" x14ac:dyDescent="0.25">
      <c r="C920" s="74"/>
    </row>
    <row r="921" spans="3:3" x14ac:dyDescent="0.25">
      <c r="C921" s="74"/>
    </row>
    <row r="922" spans="3:3" x14ac:dyDescent="0.25">
      <c r="C922" s="74"/>
    </row>
    <row r="923" spans="3:3" x14ac:dyDescent="0.25">
      <c r="C923" s="74"/>
    </row>
    <row r="924" spans="3:3" x14ac:dyDescent="0.25">
      <c r="C924" s="74"/>
    </row>
    <row r="925" spans="3:3" x14ac:dyDescent="0.25">
      <c r="C925" s="74"/>
    </row>
    <row r="926" spans="3:3" x14ac:dyDescent="0.25">
      <c r="C926" s="74"/>
    </row>
    <row r="927" spans="3:3" x14ac:dyDescent="0.25">
      <c r="C927" s="74"/>
    </row>
    <row r="928" spans="3:3" x14ac:dyDescent="0.25">
      <c r="C928" s="74"/>
    </row>
    <row r="929" spans="3:3" x14ac:dyDescent="0.25">
      <c r="C929" s="74"/>
    </row>
    <row r="930" spans="3:3" x14ac:dyDescent="0.25">
      <c r="C930" s="74"/>
    </row>
    <row r="931" spans="3:3" x14ac:dyDescent="0.25">
      <c r="C931" s="74"/>
    </row>
    <row r="932" spans="3:3" x14ac:dyDescent="0.25">
      <c r="C932" s="74"/>
    </row>
    <row r="933" spans="3:3" x14ac:dyDescent="0.25">
      <c r="C933" s="74"/>
    </row>
    <row r="934" spans="3:3" x14ac:dyDescent="0.25">
      <c r="C934" s="74"/>
    </row>
    <row r="935" spans="3:3" x14ac:dyDescent="0.25">
      <c r="C935" s="74"/>
    </row>
    <row r="936" spans="3:3" x14ac:dyDescent="0.25">
      <c r="C936" s="74"/>
    </row>
    <row r="937" spans="3:3" x14ac:dyDescent="0.25">
      <c r="C937" s="74"/>
    </row>
    <row r="938" spans="3:3" x14ac:dyDescent="0.25">
      <c r="C938" s="74"/>
    </row>
    <row r="939" spans="3:3" x14ac:dyDescent="0.25">
      <c r="C939" s="74"/>
    </row>
    <row r="940" spans="3:3" x14ac:dyDescent="0.25">
      <c r="C940" s="74"/>
    </row>
    <row r="941" spans="3:3" x14ac:dyDescent="0.25">
      <c r="C941" s="74"/>
    </row>
    <row r="942" spans="3:3" x14ac:dyDescent="0.25">
      <c r="C942" s="74"/>
    </row>
    <row r="943" spans="3:3" x14ac:dyDescent="0.25">
      <c r="C943" s="74"/>
    </row>
    <row r="944" spans="3:3" x14ac:dyDescent="0.25">
      <c r="C944" s="74"/>
    </row>
    <row r="945" spans="3:3" x14ac:dyDescent="0.25">
      <c r="C945" s="74"/>
    </row>
    <row r="946" spans="3:3" x14ac:dyDescent="0.25">
      <c r="C946" s="74"/>
    </row>
    <row r="947" spans="3:3" x14ac:dyDescent="0.25">
      <c r="C947" s="74"/>
    </row>
    <row r="948" spans="3:3" x14ac:dyDescent="0.25">
      <c r="C948" s="74"/>
    </row>
    <row r="949" spans="3:3" x14ac:dyDescent="0.25">
      <c r="C949" s="74"/>
    </row>
    <row r="950" spans="3:3" x14ac:dyDescent="0.25">
      <c r="C950" s="74"/>
    </row>
    <row r="951" spans="3:3" x14ac:dyDescent="0.25">
      <c r="C951" s="74"/>
    </row>
    <row r="952" spans="3:3" x14ac:dyDescent="0.25">
      <c r="C952" s="74"/>
    </row>
    <row r="953" spans="3:3" x14ac:dyDescent="0.25">
      <c r="C953" s="74"/>
    </row>
    <row r="954" spans="3:3" x14ac:dyDescent="0.25">
      <c r="C954" s="74"/>
    </row>
    <row r="955" spans="3:3" x14ac:dyDescent="0.25">
      <c r="C955" s="74"/>
    </row>
    <row r="956" spans="3:3" x14ac:dyDescent="0.25">
      <c r="C956" s="74"/>
    </row>
    <row r="957" spans="3:3" x14ac:dyDescent="0.25">
      <c r="C957" s="74"/>
    </row>
    <row r="958" spans="3:3" x14ac:dyDescent="0.25">
      <c r="C958" s="74"/>
    </row>
    <row r="959" spans="3:3" x14ac:dyDescent="0.25">
      <c r="C959" s="74"/>
    </row>
    <row r="960" spans="3:3" x14ac:dyDescent="0.25">
      <c r="C960" s="74"/>
    </row>
    <row r="961" spans="3:3" x14ac:dyDescent="0.25">
      <c r="C961" s="74"/>
    </row>
    <row r="962" spans="3:3" x14ac:dyDescent="0.25">
      <c r="C962" s="74"/>
    </row>
    <row r="963" spans="3:3" x14ac:dyDescent="0.25">
      <c r="C963" s="74"/>
    </row>
    <row r="964" spans="3:3" x14ac:dyDescent="0.25">
      <c r="C964" s="74"/>
    </row>
    <row r="965" spans="3:3" x14ac:dyDescent="0.25">
      <c r="C965" s="74"/>
    </row>
    <row r="966" spans="3:3" x14ac:dyDescent="0.25">
      <c r="C966" s="74"/>
    </row>
    <row r="967" spans="3:3" x14ac:dyDescent="0.25">
      <c r="C967" s="74"/>
    </row>
    <row r="968" spans="3:3" x14ac:dyDescent="0.25">
      <c r="C968" s="74"/>
    </row>
    <row r="969" spans="3:3" x14ac:dyDescent="0.25">
      <c r="C969" s="74"/>
    </row>
    <row r="970" spans="3:3" x14ac:dyDescent="0.25">
      <c r="C970" s="74"/>
    </row>
    <row r="971" spans="3:3" x14ac:dyDescent="0.25">
      <c r="C971" s="74"/>
    </row>
    <row r="972" spans="3:3" x14ac:dyDescent="0.25">
      <c r="C972" s="74"/>
    </row>
    <row r="973" spans="3:3" x14ac:dyDescent="0.25">
      <c r="C973" s="74"/>
    </row>
    <row r="974" spans="3:3" x14ac:dyDescent="0.25">
      <c r="C974" s="74"/>
    </row>
    <row r="975" spans="3:3" x14ac:dyDescent="0.25">
      <c r="C975" s="74"/>
    </row>
    <row r="976" spans="3:3" x14ac:dyDescent="0.25">
      <c r="C976" s="74"/>
    </row>
    <row r="977" spans="3:3" x14ac:dyDescent="0.25">
      <c r="C977" s="74"/>
    </row>
    <row r="978" spans="3:3" x14ac:dyDescent="0.25">
      <c r="C978" s="74"/>
    </row>
    <row r="979" spans="3:3" x14ac:dyDescent="0.25">
      <c r="C979" s="74"/>
    </row>
    <row r="980" spans="3:3" x14ac:dyDescent="0.25">
      <c r="C980" s="74"/>
    </row>
    <row r="981" spans="3:3" x14ac:dyDescent="0.25">
      <c r="C981" s="74"/>
    </row>
    <row r="982" spans="3:3" x14ac:dyDescent="0.25">
      <c r="C982" s="74"/>
    </row>
    <row r="983" spans="3:3" x14ac:dyDescent="0.25">
      <c r="C983" s="74"/>
    </row>
    <row r="984" spans="3:3" x14ac:dyDescent="0.25">
      <c r="C984" s="74"/>
    </row>
    <row r="985" spans="3:3" x14ac:dyDescent="0.25">
      <c r="C985" s="74"/>
    </row>
    <row r="986" spans="3:3" x14ac:dyDescent="0.25">
      <c r="C986" s="74"/>
    </row>
    <row r="987" spans="3:3" x14ac:dyDescent="0.25">
      <c r="C987" s="74"/>
    </row>
    <row r="988" spans="3:3" x14ac:dyDescent="0.25">
      <c r="C988" s="74"/>
    </row>
    <row r="989" spans="3:3" x14ac:dyDescent="0.25">
      <c r="C989" s="74"/>
    </row>
    <row r="990" spans="3:3" x14ac:dyDescent="0.25">
      <c r="C990" s="74"/>
    </row>
    <row r="991" spans="3:3" x14ac:dyDescent="0.25">
      <c r="C991" s="74"/>
    </row>
    <row r="992" spans="3:3" x14ac:dyDescent="0.25">
      <c r="C992" s="74"/>
    </row>
    <row r="993" spans="3:3" x14ac:dyDescent="0.25">
      <c r="C993" s="74"/>
    </row>
    <row r="994" spans="3:3" x14ac:dyDescent="0.25">
      <c r="C994" s="74"/>
    </row>
    <row r="995" spans="3:3" x14ac:dyDescent="0.25">
      <c r="C995" s="74"/>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54C4C04E5831ED41A6E817E776AE7753" ma:contentTypeVersion="2" ma:contentTypeDescription="Upload an image." ma:contentTypeScope="" ma:versionID="f4c885c8c66f34e628b6453c7746a714">
  <xsd:schema xmlns:xsd="http://www.w3.org/2001/XMLSchema" xmlns:xs="http://www.w3.org/2001/XMLSchema" xmlns:p="http://schemas.microsoft.com/office/2006/metadata/properties" xmlns:ns1="http://schemas.microsoft.com/sharepoint/v3" xmlns:ns2="7CD066FD-5E34-4539-A616-7B5767EB4A07" xmlns:ns3="http://schemas.microsoft.com/sharepoint/v3/fields" xmlns:ns4="f94b9277-b0a3-4d91-bade-04ea91219630" targetNamespace="http://schemas.microsoft.com/office/2006/metadata/properties" ma:root="true" ma:fieldsID="816f97e09562c88b138a0e9299809f42" ns1:_="" ns2:_="" ns3:_="" ns4:_="">
    <xsd:import namespace="http://schemas.microsoft.com/sharepoint/v3"/>
    <xsd:import namespace="7CD066FD-5E34-4539-A616-7B5767EB4A07"/>
    <xsd:import namespace="http://schemas.microsoft.com/sharepoint/v3/fields"/>
    <xsd:import namespace="f94b9277-b0a3-4d91-bade-04ea91219630"/>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CD066FD-5E34-4539-A616-7B5767EB4A07"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4b9277-b0a3-4d91-bade-04ea91219630"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7CD066FD-5E34-4539-A616-7B5767EB4A07"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F92B78EC-D342-4E8A-B90E-449FE21DEAF8}"/>
</file>

<file path=customXml/itemProps2.xml><?xml version="1.0" encoding="utf-8"?>
<ds:datastoreItem xmlns:ds="http://schemas.openxmlformats.org/officeDocument/2006/customXml" ds:itemID="{1D73A8B1-BED8-4375-BFD0-E993075D5EC1}"/>
</file>

<file path=customXml/itemProps3.xml><?xml version="1.0" encoding="utf-8"?>
<ds:datastoreItem xmlns:ds="http://schemas.openxmlformats.org/officeDocument/2006/customXml" ds:itemID="{7E664BD8-665D-480B-A1FF-5855D1B7D0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2017 Tax Sales Results </vt:lpstr>
      <vt:lpstr>2018 Tax Sales Results </vt:lpstr>
      <vt:lpstr>2019 Tax Sales Results </vt:lpstr>
      <vt:lpstr>2020 Tax sale Results</vt:lpstr>
      <vt:lpstr>2021 Tax Sale Results</vt:lpstr>
      <vt:lpstr>2022 Tax Sale Results</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REV4711</dc:creator>
  <cp:keywords/>
  <dc:description/>
  <cp:lastModifiedBy>Klink, Melissa R (DOR)</cp:lastModifiedBy>
  <cp:lastPrinted>2023-08-23T16:21:36Z</cp:lastPrinted>
  <dcterms:created xsi:type="dcterms:W3CDTF">2019-07-23T17:57:34Z</dcterms:created>
  <dcterms:modified xsi:type="dcterms:W3CDTF">2024-01-25T19:28:31Z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5a0fd68-05d9-4801-8234-77059db64949_Enabled">
    <vt:lpwstr>true</vt:lpwstr>
  </property>
  <property fmtid="{D5CDD505-2E9C-101B-9397-08002B2CF9AE}" pid="3" name="MSIP_Label_05a0fd68-05d9-4801-8234-77059db64949_SetDate">
    <vt:lpwstr>2022-08-24T17:36:53Z</vt:lpwstr>
  </property>
  <property fmtid="{D5CDD505-2E9C-101B-9397-08002B2CF9AE}" pid="4" name="MSIP_Label_05a0fd68-05d9-4801-8234-77059db64949_Method">
    <vt:lpwstr>Privileged</vt:lpwstr>
  </property>
  <property fmtid="{D5CDD505-2E9C-101B-9397-08002B2CF9AE}" pid="5" name="MSIP_Label_05a0fd68-05d9-4801-8234-77059db64949_Name">
    <vt:lpwstr>05a0fd68-05d9-4801-8234-77059db64949</vt:lpwstr>
  </property>
  <property fmtid="{D5CDD505-2E9C-101B-9397-08002B2CF9AE}" pid="6" name="MSIP_Label_05a0fd68-05d9-4801-8234-77059db64949_SiteId">
    <vt:lpwstr>d77c7f4d-d767-461f-b625-0628792e9e2a</vt:lpwstr>
  </property>
  <property fmtid="{D5CDD505-2E9C-101B-9397-08002B2CF9AE}" pid="7" name="MSIP_Label_05a0fd68-05d9-4801-8234-77059db64949_ActionId">
    <vt:lpwstr>2232fd7e-41e6-43d9-bc5f-46bd8446a013</vt:lpwstr>
  </property>
  <property fmtid="{D5CDD505-2E9C-101B-9397-08002B2CF9AE}" pid="8" name="MSIP_Label_05a0fd68-05d9-4801-8234-77059db64949_ContentBits">
    <vt:lpwstr>2</vt:lpwstr>
  </property>
  <property fmtid="{D5CDD505-2E9C-101B-9397-08002B2CF9AE}" pid="9" name="ContentTypeId">
    <vt:lpwstr>0x0101009148F5A04DDD49CBA7127AADA5FB792B00AADE34325A8B49CDA8BB4DB53328F2140054C4C04E5831ED41A6E817E776AE7753</vt:lpwstr>
  </property>
</Properties>
</file>